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ravanth/Downloads/"/>
    </mc:Choice>
  </mc:AlternateContent>
  <xr:revisionPtr revIDLastSave="0" documentId="13_ncr:1_{835A90E2-E9FE-C143-B8ED-DACFF59C6268}" xr6:coauthVersionLast="47" xr6:coauthVersionMax="47" xr10:uidLastSave="{00000000-0000-0000-0000-000000000000}"/>
  <bookViews>
    <workbookView xWindow="0" yWindow="720" windowWidth="29400" windowHeight="18400" firstSheet="5" activeTab="7" xr2:uid="{FAED40BE-4436-E44F-ACFB-4F06F60DF3F0}"/>
  </bookViews>
  <sheets>
    <sheet name="Comprehensive Income " sheetId="1" r:id="rId1"/>
    <sheet name="Balance Sheet " sheetId="2" r:id="rId2"/>
    <sheet name="SCF" sheetId="3" r:id="rId3"/>
    <sheet name="M-score" sheetId="6" r:id="rId4"/>
    <sheet name="Earnings Change" sheetId="7" r:id="rId5"/>
    <sheet name="Financial Analysis " sheetId="8" r:id="rId6"/>
    <sheet name="Ratios" sheetId="4" r:id="rId7"/>
    <sheet name="Forecasting " sheetId="9" r:id="rId8"/>
    <sheet name="Change in WC and Capex" sheetId="16" r:id="rId9"/>
    <sheet name="Cost of Capital " sheetId="10" r:id="rId10"/>
    <sheet name="Market Model Output " sheetId="13" r:id="rId11"/>
    <sheet name="Daily Prices " sheetId="11" r:id="rId12"/>
    <sheet name="DDM" sheetId="14" r:id="rId13"/>
    <sheet name="FCF Valuation " sheetId="15" r:id="rId14"/>
    <sheet name="Relative Valuation " sheetId="17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Q2" i="4"/>
  <c r="O3" i="4"/>
  <c r="P3" i="4"/>
  <c r="Q3" i="4"/>
  <c r="O4" i="4"/>
  <c r="P4" i="4"/>
  <c r="Q4" i="4"/>
  <c r="C36" i="2"/>
  <c r="D36" i="2"/>
  <c r="E36" i="2"/>
  <c r="B36" i="2"/>
  <c r="C35" i="2"/>
  <c r="D35" i="2"/>
  <c r="E35" i="2"/>
  <c r="B35" i="2"/>
  <c r="C34" i="2"/>
  <c r="D34" i="2"/>
  <c r="E34" i="2"/>
  <c r="F34" i="2"/>
  <c r="B34" i="2"/>
  <c r="C31" i="2"/>
  <c r="E31" i="2"/>
  <c r="F31" i="2"/>
  <c r="B31" i="2"/>
  <c r="B46" i="4"/>
  <c r="B9" i="17"/>
  <c r="I3" i="17"/>
  <c r="J3" i="17"/>
  <c r="D13" i="17" s="1"/>
  <c r="D14" i="17" s="1"/>
  <c r="H3" i="17"/>
  <c r="I2" i="17"/>
  <c r="I5" i="17" s="1"/>
  <c r="J2" i="17"/>
  <c r="H2" i="17"/>
  <c r="B13" i="17" s="1"/>
  <c r="E2" i="17"/>
  <c r="E7" i="16"/>
  <c r="F7" i="16"/>
  <c r="G7" i="16"/>
  <c r="H7" i="16"/>
  <c r="C6" i="16"/>
  <c r="D7" i="16" s="1"/>
  <c r="D6" i="16"/>
  <c r="E6" i="16"/>
  <c r="F6" i="16"/>
  <c r="G6" i="16"/>
  <c r="H6" i="16"/>
  <c r="B6" i="16"/>
  <c r="D5" i="16"/>
  <c r="E5" i="16"/>
  <c r="H5" i="16"/>
  <c r="C4" i="16"/>
  <c r="C5" i="16" s="1"/>
  <c r="D4" i="16"/>
  <c r="E4" i="16"/>
  <c r="F4" i="16"/>
  <c r="F5" i="16" s="1"/>
  <c r="G4" i="16"/>
  <c r="H4" i="16"/>
  <c r="B4" i="16"/>
  <c r="D3" i="16"/>
  <c r="E3" i="16"/>
  <c r="F3" i="16"/>
  <c r="G3" i="16"/>
  <c r="H3" i="16"/>
  <c r="C2" i="16"/>
  <c r="C3" i="16" s="1"/>
  <c r="D2" i="16"/>
  <c r="E2" i="16"/>
  <c r="F2" i="16"/>
  <c r="G2" i="16"/>
  <c r="H2" i="16"/>
  <c r="B2" i="16"/>
  <c r="B15" i="15"/>
  <c r="C6" i="15"/>
  <c r="B4" i="15"/>
  <c r="C7" i="16" l="1"/>
  <c r="G5" i="16"/>
  <c r="B14" i="17"/>
  <c r="F14" i="17" s="1"/>
  <c r="J5" i="17"/>
  <c r="D8" i="17"/>
  <c r="D10" i="17" s="1"/>
  <c r="H5" i="17"/>
  <c r="B8" i="17" s="1"/>
  <c r="B10" i="17" l="1"/>
  <c r="F8" i="17"/>
  <c r="F10" i="17" s="1"/>
  <c r="J42" i="4" l="1"/>
  <c r="A2" i="14"/>
  <c r="B3" i="10"/>
  <c r="B6" i="10" s="1"/>
  <c r="B4" i="14" s="1"/>
  <c r="K33" i="4"/>
  <c r="J32" i="4"/>
  <c r="K32" i="4" s="1"/>
  <c r="J33" i="4"/>
  <c r="J34" i="4"/>
  <c r="K34" i="4" s="1"/>
  <c r="I32" i="4"/>
  <c r="I33" i="4"/>
  <c r="I34" i="4"/>
  <c r="I15" i="4"/>
  <c r="I16" i="4"/>
  <c r="K16" i="4" s="1"/>
  <c r="I17" i="4"/>
  <c r="I18" i="4"/>
  <c r="I14" i="4"/>
  <c r="J18" i="4"/>
  <c r="J15" i="4"/>
  <c r="J16" i="4"/>
  <c r="J17" i="4"/>
  <c r="K17" i="4" s="1"/>
  <c r="J14" i="4"/>
  <c r="C45" i="4"/>
  <c r="D45" i="4"/>
  <c r="E45" i="4"/>
  <c r="F45" i="4"/>
  <c r="G45" i="4"/>
  <c r="H45" i="4"/>
  <c r="B45" i="4"/>
  <c r="B2" i="9"/>
  <c r="C29" i="4"/>
  <c r="D29" i="4"/>
  <c r="E29" i="4"/>
  <c r="F29" i="4"/>
  <c r="G29" i="4"/>
  <c r="H29" i="4"/>
  <c r="B29" i="4"/>
  <c r="C21" i="4"/>
  <c r="D21" i="4"/>
  <c r="E21" i="4"/>
  <c r="F21" i="4"/>
  <c r="G21" i="4"/>
  <c r="P2" i="4" s="1"/>
  <c r="H21" i="4"/>
  <c r="B21" i="4"/>
  <c r="C38" i="4"/>
  <c r="D38" i="4"/>
  <c r="E38" i="4"/>
  <c r="F38" i="4"/>
  <c r="G38" i="4"/>
  <c r="H38" i="4"/>
  <c r="B38" i="4"/>
  <c r="C51" i="4"/>
  <c r="D51" i="4"/>
  <c r="E51" i="4"/>
  <c r="F51" i="4"/>
  <c r="B51" i="4"/>
  <c r="C50" i="4"/>
  <c r="D50" i="4"/>
  <c r="E50" i="4"/>
  <c r="F50" i="4"/>
  <c r="G50" i="4"/>
  <c r="H50" i="4"/>
  <c r="B50" i="4"/>
  <c r="C49" i="4"/>
  <c r="D49" i="4"/>
  <c r="E49" i="4"/>
  <c r="F49" i="4"/>
  <c r="G49" i="4"/>
  <c r="H49" i="4"/>
  <c r="B49" i="4"/>
  <c r="C48" i="4"/>
  <c r="D48" i="4"/>
  <c r="E48" i="4"/>
  <c r="F48" i="4"/>
  <c r="G48" i="4"/>
  <c r="H48" i="4"/>
  <c r="B48" i="4"/>
  <c r="C46" i="4"/>
  <c r="D46" i="4"/>
  <c r="E46" i="4"/>
  <c r="F46" i="4"/>
  <c r="G46" i="4"/>
  <c r="H46" i="4"/>
  <c r="C44" i="4"/>
  <c r="D44" i="4"/>
  <c r="E44" i="4"/>
  <c r="F44" i="4"/>
  <c r="G44" i="4"/>
  <c r="H44" i="4"/>
  <c r="B44" i="4"/>
  <c r="C43" i="4"/>
  <c r="D43" i="4"/>
  <c r="E43" i="4"/>
  <c r="F43" i="4"/>
  <c r="G43" i="4"/>
  <c r="H43" i="4"/>
  <c r="B43" i="4"/>
  <c r="D40" i="4"/>
  <c r="E40" i="4"/>
  <c r="F40" i="4"/>
  <c r="G40" i="4"/>
  <c r="H40" i="4"/>
  <c r="C40" i="4"/>
  <c r="G4" i="1"/>
  <c r="G18" i="8"/>
  <c r="F18" i="8"/>
  <c r="G11" i="8"/>
  <c r="F11" i="8"/>
  <c r="F12" i="8"/>
  <c r="F19" i="8"/>
  <c r="G19" i="8"/>
  <c r="G17" i="8"/>
  <c r="F17" i="8"/>
  <c r="C3" i="8"/>
  <c r="B3" i="8"/>
  <c r="G10" i="8"/>
  <c r="F10" i="8"/>
  <c r="D8" i="1"/>
  <c r="D41" i="4" s="1"/>
  <c r="J38" i="4" l="1"/>
  <c r="K38" i="4" s="1"/>
  <c r="B3" i="14" s="1"/>
  <c r="K46" i="4"/>
  <c r="B22" i="9" s="1"/>
  <c r="I4" i="16" s="1"/>
  <c r="I5" i="16" s="1"/>
  <c r="J48" i="4"/>
  <c r="J49" i="4"/>
  <c r="K48" i="4"/>
  <c r="B23" i="9" s="1"/>
  <c r="I50" i="4"/>
  <c r="K50" i="4" s="1"/>
  <c r="B32" i="9" s="1"/>
  <c r="C10" i="15"/>
  <c r="I29" i="4"/>
  <c r="K29" i="4" s="1"/>
  <c r="I45" i="4"/>
  <c r="J50" i="4"/>
  <c r="I49" i="4"/>
  <c r="K49" i="4" s="1"/>
  <c r="B24" i="9" s="1"/>
  <c r="I48" i="4"/>
  <c r="J46" i="4"/>
  <c r="I46" i="4"/>
  <c r="I21" i="4"/>
  <c r="J45" i="4"/>
  <c r="K45" i="4" s="1"/>
  <c r="B26" i="9" s="1"/>
  <c r="I44" i="4"/>
  <c r="J29" i="4"/>
  <c r="J44" i="4"/>
  <c r="K44" i="4" s="1"/>
  <c r="B21" i="9" s="1"/>
  <c r="I2" i="16" s="1"/>
  <c r="I3" i="16" s="1"/>
  <c r="I43" i="4"/>
  <c r="I38" i="4"/>
  <c r="J43" i="4"/>
  <c r="K43" i="4" s="1"/>
  <c r="B29" i="9" s="1"/>
  <c r="J21" i="4"/>
  <c r="K21" i="4" s="1"/>
  <c r="I42" i="4"/>
  <c r="K42" i="4" s="1"/>
  <c r="C2" i="9"/>
  <c r="F20" i="8"/>
  <c r="P5" i="8" s="1"/>
  <c r="G20" i="8"/>
  <c r="F13" i="8"/>
  <c r="P4" i="8" s="1"/>
  <c r="G12" i="8"/>
  <c r="G13" i="8" s="1"/>
  <c r="Q4" i="8" s="1"/>
  <c r="H20" i="8" l="1"/>
  <c r="Q5" i="8"/>
  <c r="C32" i="9"/>
  <c r="D10" i="15"/>
  <c r="B7" i="9"/>
  <c r="C8" i="15" s="1"/>
  <c r="I6" i="16"/>
  <c r="I7" i="16" s="1"/>
  <c r="B27" i="9"/>
  <c r="C29" i="9"/>
  <c r="B25" i="9"/>
  <c r="C26" i="9"/>
  <c r="D2" i="9"/>
  <c r="C22" i="9"/>
  <c r="J4" i="16" s="1"/>
  <c r="J5" i="16" s="1"/>
  <c r="C24" i="9"/>
  <c r="C21" i="9"/>
  <c r="J2" i="16" s="1"/>
  <c r="J3" i="16" s="1"/>
  <c r="C23" i="9"/>
  <c r="C7" i="9" s="1"/>
  <c r="D8" i="15" s="1"/>
  <c r="H13" i="8"/>
  <c r="E10" i="15" l="1"/>
  <c r="D24" i="9"/>
  <c r="D32" i="9"/>
  <c r="J6" i="16"/>
  <c r="J7" i="16" s="1"/>
  <c r="C27" i="9"/>
  <c r="D26" i="9"/>
  <c r="D29" i="9"/>
  <c r="D21" i="9"/>
  <c r="K2" i="16" s="1"/>
  <c r="K3" i="16" s="1"/>
  <c r="D22" i="9"/>
  <c r="K4" i="16" s="1"/>
  <c r="K5" i="16" s="1"/>
  <c r="D23" i="9"/>
  <c r="D7" i="9" s="1"/>
  <c r="E8" i="15" s="1"/>
  <c r="B28" i="9"/>
  <c r="E2" i="9"/>
  <c r="C25" i="9"/>
  <c r="F10" i="15" l="1"/>
  <c r="E24" i="9"/>
  <c r="E32" i="9"/>
  <c r="K6" i="16"/>
  <c r="K7" i="16" s="1"/>
  <c r="D27" i="9"/>
  <c r="F2" i="9"/>
  <c r="E23" i="9"/>
  <c r="E7" i="9" s="1"/>
  <c r="F8" i="15" s="1"/>
  <c r="E26" i="9"/>
  <c r="E29" i="9"/>
  <c r="D25" i="9"/>
  <c r="C28" i="9"/>
  <c r="E22" i="9"/>
  <c r="L4" i="16" s="1"/>
  <c r="L5" i="16" s="1"/>
  <c r="E21" i="9"/>
  <c r="L2" i="16" s="1"/>
  <c r="L3" i="16" s="1"/>
  <c r="F32" i="9" l="1"/>
  <c r="G10" i="15"/>
  <c r="F23" i="9"/>
  <c r="F7" i="9" s="1"/>
  <c r="G8" i="15" s="1"/>
  <c r="F21" i="9"/>
  <c r="M2" i="16" s="1"/>
  <c r="M3" i="16" s="1"/>
  <c r="F24" i="9"/>
  <c r="L6" i="16"/>
  <c r="L7" i="16" s="1"/>
  <c r="E27" i="9"/>
  <c r="F29" i="9"/>
  <c r="F26" i="9"/>
  <c r="F22" i="9"/>
  <c r="M4" i="16" s="1"/>
  <c r="M5" i="16" s="1"/>
  <c r="E25" i="9"/>
  <c r="D28" i="9"/>
  <c r="F25" i="9" l="1"/>
  <c r="M6" i="16"/>
  <c r="F27" i="9"/>
  <c r="E28" i="9"/>
  <c r="F28" i="9" l="1"/>
  <c r="M7" i="16"/>
  <c r="B40" i="4" l="1"/>
  <c r="J40" i="4" s="1"/>
  <c r="B10" i="3"/>
  <c r="C10" i="3"/>
  <c r="D10" i="3"/>
  <c r="E10" i="3"/>
  <c r="F10" i="3"/>
  <c r="H12" i="3"/>
  <c r="H10" i="3"/>
  <c r="G10" i="3"/>
  <c r="G13" i="3"/>
  <c r="G12" i="3"/>
  <c r="F12" i="3"/>
  <c r="F14" i="3" s="1"/>
  <c r="E12" i="3"/>
  <c r="E13" i="3"/>
  <c r="B13" i="3"/>
  <c r="B14" i="3" s="1"/>
  <c r="C12" i="3"/>
  <c r="C14" i="3" s="1"/>
  <c r="D13" i="3"/>
  <c r="D12" i="3"/>
  <c r="E25" i="2"/>
  <c r="F25" i="2"/>
  <c r="D23" i="2"/>
  <c r="D25" i="2" s="1"/>
  <c r="D19" i="2"/>
  <c r="D12" i="2"/>
  <c r="D31" i="2" s="1"/>
  <c r="B23" i="2"/>
  <c r="B19" i="2"/>
  <c r="C23" i="2"/>
  <c r="C19" i="2"/>
  <c r="B8" i="2"/>
  <c r="C8" i="2"/>
  <c r="D8" i="2"/>
  <c r="E23" i="2"/>
  <c r="E19" i="2"/>
  <c r="F23" i="2"/>
  <c r="F24" i="2"/>
  <c r="F35" i="2" s="1"/>
  <c r="F36" i="2" s="1"/>
  <c r="F19" i="2"/>
  <c r="G29" i="2"/>
  <c r="G23" i="2"/>
  <c r="G25" i="2" s="1"/>
  <c r="G20" i="2"/>
  <c r="G19" i="2"/>
  <c r="G12" i="2"/>
  <c r="G7" i="2"/>
  <c r="G6" i="2"/>
  <c r="G31" i="2" s="1"/>
  <c r="H29" i="2"/>
  <c r="H23" i="2"/>
  <c r="H25" i="2" s="1"/>
  <c r="H19" i="2"/>
  <c r="H20" i="2"/>
  <c r="H35" i="2" s="1"/>
  <c r="H7" i="2"/>
  <c r="H6" i="2"/>
  <c r="H31" i="2" s="1"/>
  <c r="F29" i="2"/>
  <c r="E29" i="2"/>
  <c r="D29" i="2"/>
  <c r="C29" i="2"/>
  <c r="B29" i="2"/>
  <c r="F14" i="2"/>
  <c r="F20" i="4" s="1"/>
  <c r="D14" i="2"/>
  <c r="D20" i="4" s="1"/>
  <c r="C14" i="2"/>
  <c r="B14" i="2"/>
  <c r="B20" i="4" s="1"/>
  <c r="H14" i="2"/>
  <c r="H20" i="4" s="1"/>
  <c r="G14" i="2"/>
  <c r="G20" i="4" s="1"/>
  <c r="E14" i="2"/>
  <c r="E20" i="4" s="1"/>
  <c r="F8" i="2"/>
  <c r="E8" i="2"/>
  <c r="H12" i="1"/>
  <c r="H10" i="1"/>
  <c r="H23" i="1" s="1"/>
  <c r="H8" i="1"/>
  <c r="H41" i="4" s="1"/>
  <c r="G12" i="1"/>
  <c r="G10" i="1"/>
  <c r="G8" i="1"/>
  <c r="G41" i="4" s="1"/>
  <c r="G7" i="1"/>
  <c r="G5" i="1"/>
  <c r="G3" i="4" s="1"/>
  <c r="F12" i="1"/>
  <c r="F10" i="1"/>
  <c r="F8" i="1"/>
  <c r="F41" i="4" s="1"/>
  <c r="F7" i="1"/>
  <c r="F6" i="1"/>
  <c r="F4" i="1"/>
  <c r="F5" i="1" s="1"/>
  <c r="F3" i="4" s="1"/>
  <c r="E12" i="1"/>
  <c r="E10" i="1"/>
  <c r="E8" i="1"/>
  <c r="E41" i="4" s="1"/>
  <c r="E7" i="1"/>
  <c r="E6" i="1"/>
  <c r="E4" i="1"/>
  <c r="E5" i="1" s="1"/>
  <c r="E3" i="4" s="1"/>
  <c r="D12" i="1"/>
  <c r="D10" i="1"/>
  <c r="D7" i="1"/>
  <c r="D4" i="1"/>
  <c r="D5" i="1" s="1"/>
  <c r="D3" i="4" s="1"/>
  <c r="C12" i="1"/>
  <c r="C10" i="1"/>
  <c r="B12" i="1"/>
  <c r="B10" i="1"/>
  <c r="B8" i="1"/>
  <c r="B41" i="4" s="1"/>
  <c r="C8" i="1"/>
  <c r="C41" i="4" s="1"/>
  <c r="B7" i="1"/>
  <c r="H5" i="1"/>
  <c r="H3" i="4" s="1"/>
  <c r="C5" i="1"/>
  <c r="C3" i="4" s="1"/>
  <c r="B5" i="1"/>
  <c r="B3" i="4" s="1"/>
  <c r="G8" i="2" l="1"/>
  <c r="E10" i="4"/>
  <c r="E37" i="2"/>
  <c r="B6" i="8"/>
  <c r="B26" i="4"/>
  <c r="D47" i="4"/>
  <c r="D32" i="2"/>
  <c r="D8" i="16"/>
  <c r="D37" i="2"/>
  <c r="D10" i="4"/>
  <c r="C6" i="8"/>
  <c r="F32" i="2"/>
  <c r="F33" i="2" s="1"/>
  <c r="F8" i="16"/>
  <c r="F47" i="4"/>
  <c r="C32" i="2"/>
  <c r="C33" i="2" s="1"/>
  <c r="C8" i="16"/>
  <c r="C47" i="4"/>
  <c r="D21" i="2"/>
  <c r="D28" i="4" s="1"/>
  <c r="H34" i="2"/>
  <c r="H51" i="4"/>
  <c r="B8" i="16"/>
  <c r="B47" i="4"/>
  <c r="B32" i="2"/>
  <c r="B33" i="2" s="1"/>
  <c r="J20" i="4"/>
  <c r="I20" i="4"/>
  <c r="B12" i="17"/>
  <c r="C37" i="2"/>
  <c r="C10" i="4"/>
  <c r="C15" i="2"/>
  <c r="C20" i="4"/>
  <c r="K20" i="4" s="1"/>
  <c r="C26" i="4"/>
  <c r="E26" i="4"/>
  <c r="F26" i="4"/>
  <c r="G34" i="2"/>
  <c r="G51" i="4"/>
  <c r="F37" i="2"/>
  <c r="F10" i="4"/>
  <c r="F26" i="8" s="1"/>
  <c r="H36" i="2"/>
  <c r="G32" i="2"/>
  <c r="G33" i="2" s="1"/>
  <c r="G8" i="16"/>
  <c r="G47" i="4"/>
  <c r="E8" i="16"/>
  <c r="E32" i="2"/>
  <c r="E33" i="2" s="1"/>
  <c r="E47" i="4"/>
  <c r="D26" i="4"/>
  <c r="D27" i="4"/>
  <c r="B10" i="4"/>
  <c r="B37" i="2"/>
  <c r="H21" i="2"/>
  <c r="H28" i="4" s="1"/>
  <c r="H47" i="4"/>
  <c r="H32" i="2"/>
  <c r="H33" i="2" s="1"/>
  <c r="H8" i="16"/>
  <c r="G21" i="2"/>
  <c r="G28" i="4" s="1"/>
  <c r="G35" i="2"/>
  <c r="G36" i="2" s="1"/>
  <c r="D33" i="2"/>
  <c r="C36" i="4"/>
  <c r="I36" i="4" s="1"/>
  <c r="K36" i="4" s="1"/>
  <c r="C23" i="1"/>
  <c r="F36" i="4"/>
  <c r="F23" i="1"/>
  <c r="G36" i="4"/>
  <c r="G23" i="1"/>
  <c r="E36" i="4"/>
  <c r="E23" i="1"/>
  <c r="D36" i="4"/>
  <c r="D23" i="1"/>
  <c r="B36" i="4"/>
  <c r="B23" i="1"/>
  <c r="B21" i="1"/>
  <c r="H36" i="4"/>
  <c r="B9" i="10"/>
  <c r="B7" i="10" s="1"/>
  <c r="B11" i="10" s="1"/>
  <c r="B3" i="15" s="1"/>
  <c r="C21" i="1"/>
  <c r="F21" i="1"/>
  <c r="H21" i="1"/>
  <c r="E21" i="1"/>
  <c r="I41" i="4"/>
  <c r="K41" i="4" s="1"/>
  <c r="J41" i="4"/>
  <c r="D21" i="1"/>
  <c r="G21" i="1"/>
  <c r="J3" i="4"/>
  <c r="I3" i="4"/>
  <c r="K3" i="4" s="1"/>
  <c r="I40" i="4"/>
  <c r="B3" i="9"/>
  <c r="B4" i="9" s="1"/>
  <c r="C3" i="9"/>
  <c r="C4" i="9" s="1"/>
  <c r="D3" i="9"/>
  <c r="D4" i="9" s="1"/>
  <c r="E3" i="9"/>
  <c r="E4" i="9" s="1"/>
  <c r="F3" i="9"/>
  <c r="F4" i="9" s="1"/>
  <c r="F17" i="3"/>
  <c r="E14" i="3"/>
  <c r="E17" i="3"/>
  <c r="E19" i="3" s="1"/>
  <c r="B17" i="3"/>
  <c r="B19" i="3" s="1"/>
  <c r="C17" i="3"/>
  <c r="C19" i="3" s="1"/>
  <c r="D14" i="3"/>
  <c r="D17" i="3" s="1"/>
  <c r="D19" i="3" s="1"/>
  <c r="D15" i="2"/>
  <c r="F15" i="2"/>
  <c r="G15" i="2"/>
  <c r="E21" i="2"/>
  <c r="E28" i="4" s="1"/>
  <c r="C21" i="2"/>
  <c r="C28" i="4" s="1"/>
  <c r="E15" i="2"/>
  <c r="F21" i="2"/>
  <c r="F28" i="4" s="1"/>
  <c r="B25" i="2"/>
  <c r="C25" i="2"/>
  <c r="B15" i="2"/>
  <c r="D30" i="2"/>
  <c r="B21" i="2"/>
  <c r="B28" i="4" s="1"/>
  <c r="H8" i="2"/>
  <c r="F9" i="1"/>
  <c r="F20" i="1" s="1"/>
  <c r="E9" i="1"/>
  <c r="E20" i="1" s="1"/>
  <c r="D9" i="1"/>
  <c r="D20" i="1" s="1"/>
  <c r="D22" i="1" s="1"/>
  <c r="C9" i="1"/>
  <c r="C20" i="1" s="1"/>
  <c r="H9" i="1"/>
  <c r="H20" i="1" s="1"/>
  <c r="G9" i="1"/>
  <c r="G20" i="1" s="1"/>
  <c r="B9" i="1"/>
  <c r="B20" i="1" s="1"/>
  <c r="B22" i="1" s="1"/>
  <c r="G9" i="16" l="1"/>
  <c r="G10" i="16" s="1"/>
  <c r="G11" i="16"/>
  <c r="F27" i="4"/>
  <c r="B27" i="4"/>
  <c r="B31" i="4"/>
  <c r="B52" i="4"/>
  <c r="B22" i="4"/>
  <c r="F52" i="4"/>
  <c r="K14" i="2"/>
  <c r="F22" i="4"/>
  <c r="C5" i="8"/>
  <c r="F31" i="4"/>
  <c r="I26" i="4"/>
  <c r="K26" i="4" s="1"/>
  <c r="G10" i="4"/>
  <c r="G26" i="8" s="1"/>
  <c r="G37" i="2"/>
  <c r="H10" i="4"/>
  <c r="H37" i="2"/>
  <c r="D16" i="17"/>
  <c r="E16" i="17" s="1"/>
  <c r="D15" i="17"/>
  <c r="E15" i="17" s="1"/>
  <c r="G31" i="4"/>
  <c r="G52" i="4"/>
  <c r="G22" i="4"/>
  <c r="E27" i="4"/>
  <c r="H11" i="16"/>
  <c r="H9" i="16"/>
  <c r="H10" i="16" s="1"/>
  <c r="C27" i="4"/>
  <c r="C9" i="16"/>
  <c r="C10" i="16" s="1"/>
  <c r="C11" i="16"/>
  <c r="F22" i="1"/>
  <c r="E22" i="4"/>
  <c r="B5" i="8"/>
  <c r="E31" i="4"/>
  <c r="E52" i="4"/>
  <c r="J51" i="4"/>
  <c r="K51" i="4" s="1"/>
  <c r="I51" i="4"/>
  <c r="D9" i="16"/>
  <c r="D10" i="16" s="1"/>
  <c r="D11" i="16"/>
  <c r="G26" i="4"/>
  <c r="J26" i="4" s="1"/>
  <c r="G27" i="4"/>
  <c r="H15" i="2"/>
  <c r="H26" i="4"/>
  <c r="H27" i="4"/>
  <c r="E9" i="16"/>
  <c r="E10" i="16" s="1"/>
  <c r="E11" i="16"/>
  <c r="J47" i="4"/>
  <c r="I47" i="4"/>
  <c r="K47" i="4" s="1"/>
  <c r="H30" i="2"/>
  <c r="D22" i="4"/>
  <c r="D31" i="4"/>
  <c r="D52" i="4"/>
  <c r="I28" i="4"/>
  <c r="K28" i="4" s="1"/>
  <c r="J28" i="4"/>
  <c r="C31" i="4"/>
  <c r="C52" i="4"/>
  <c r="C22" i="4"/>
  <c r="F9" i="16"/>
  <c r="F10" i="16" s="1"/>
  <c r="F11" i="16"/>
  <c r="G30" i="2"/>
  <c r="J36" i="4"/>
  <c r="E22" i="1"/>
  <c r="C22" i="1"/>
  <c r="B25" i="1"/>
  <c r="B11" i="4" s="1"/>
  <c r="G22" i="1"/>
  <c r="H22" i="1"/>
  <c r="B5" i="9"/>
  <c r="B6" i="9" s="1"/>
  <c r="B8" i="9" s="1"/>
  <c r="C5" i="9"/>
  <c r="C6" i="9" s="1"/>
  <c r="C8" i="9" s="1"/>
  <c r="D5" i="9"/>
  <c r="D6" i="9" s="1"/>
  <c r="D8" i="9" s="1"/>
  <c r="E5" i="9"/>
  <c r="E6" i="9" s="1"/>
  <c r="E8" i="9" s="1"/>
  <c r="F5" i="9"/>
  <c r="F6" i="9" s="1"/>
  <c r="F8" i="9" s="1"/>
  <c r="C9" i="9"/>
  <c r="C16" i="9" s="1"/>
  <c r="E9" i="9"/>
  <c r="E16" i="9" s="1"/>
  <c r="F9" i="9"/>
  <c r="F16" i="9" s="1"/>
  <c r="B9" i="9"/>
  <c r="B16" i="9" s="1"/>
  <c r="D9" i="9"/>
  <c r="D16" i="9" s="1"/>
  <c r="H11" i="1"/>
  <c r="H5" i="4"/>
  <c r="H6" i="4"/>
  <c r="D11" i="1"/>
  <c r="D6" i="4"/>
  <c r="D5" i="4"/>
  <c r="B11" i="1"/>
  <c r="B24" i="1" s="1"/>
  <c r="B5" i="4"/>
  <c r="B6" i="4"/>
  <c r="G11" i="1"/>
  <c r="G5" i="4"/>
  <c r="G6" i="4"/>
  <c r="E11" i="1"/>
  <c r="E5" i="4"/>
  <c r="E6" i="4"/>
  <c r="C11" i="1"/>
  <c r="C5" i="4"/>
  <c r="C6" i="4"/>
  <c r="F11" i="1"/>
  <c r="F6" i="4"/>
  <c r="F5" i="4"/>
  <c r="F19" i="3"/>
  <c r="B30" i="2"/>
  <c r="C30" i="2"/>
  <c r="E30" i="2"/>
  <c r="F30" i="2"/>
  <c r="I8" i="16" l="1"/>
  <c r="J8" i="16"/>
  <c r="K8" i="16"/>
  <c r="L8" i="16"/>
  <c r="M8" i="16"/>
  <c r="J22" i="4"/>
  <c r="I22" i="4"/>
  <c r="K22" i="4" s="1"/>
  <c r="J27" i="4"/>
  <c r="K27" i="4" s="1"/>
  <c r="I27" i="4"/>
  <c r="B30" i="9"/>
  <c r="B33" i="9" s="1"/>
  <c r="C30" i="9"/>
  <c r="C33" i="9" s="1"/>
  <c r="D30" i="9"/>
  <c r="D33" i="9" s="1"/>
  <c r="E30" i="9"/>
  <c r="E33" i="9" s="1"/>
  <c r="F30" i="9"/>
  <c r="F33" i="9" s="1"/>
  <c r="G5" i="8"/>
  <c r="G4" i="8"/>
  <c r="F4" i="8"/>
  <c r="F5" i="8"/>
  <c r="H31" i="4"/>
  <c r="J31" i="4" s="1"/>
  <c r="K31" i="4" s="1"/>
  <c r="H52" i="4"/>
  <c r="I52" i="4" s="1"/>
  <c r="K52" i="4" s="1"/>
  <c r="H22" i="4"/>
  <c r="C37" i="4"/>
  <c r="C24" i="1"/>
  <c r="C25" i="1" s="1"/>
  <c r="C11" i="4" s="1"/>
  <c r="F37" i="4"/>
  <c r="F24" i="1"/>
  <c r="F25" i="1" s="1"/>
  <c r="F11" i="4" s="1"/>
  <c r="F27" i="8" s="1"/>
  <c r="G37" i="4"/>
  <c r="G24" i="1"/>
  <c r="G25" i="1" s="1"/>
  <c r="G11" i="4" s="1"/>
  <c r="G27" i="8" s="1"/>
  <c r="H37" i="4"/>
  <c r="H24" i="1"/>
  <c r="H25" i="1" s="1"/>
  <c r="H11" i="4" s="1"/>
  <c r="E37" i="4"/>
  <c r="E24" i="1"/>
  <c r="E25" i="1" s="1"/>
  <c r="E11" i="4" s="1"/>
  <c r="D37" i="4"/>
  <c r="D24" i="1"/>
  <c r="D25" i="1" s="1"/>
  <c r="D11" i="4" s="1"/>
  <c r="D5" i="15"/>
  <c r="D7" i="15" s="1"/>
  <c r="C13" i="9"/>
  <c r="C10" i="9"/>
  <c r="G5" i="15"/>
  <c r="G7" i="15" s="1"/>
  <c r="F10" i="9"/>
  <c r="F13" i="9"/>
  <c r="F5" i="15"/>
  <c r="F7" i="15" s="1"/>
  <c r="E13" i="9"/>
  <c r="E10" i="9"/>
  <c r="E5" i="15"/>
  <c r="E7" i="15" s="1"/>
  <c r="D10" i="9"/>
  <c r="D13" i="9"/>
  <c r="C5" i="15"/>
  <c r="C7" i="15" s="1"/>
  <c r="B10" i="9"/>
  <c r="B13" i="9"/>
  <c r="B7" i="4"/>
  <c r="B37" i="4"/>
  <c r="I6" i="4"/>
  <c r="K6" i="4" s="1"/>
  <c r="J6" i="4"/>
  <c r="J5" i="4"/>
  <c r="I5" i="4"/>
  <c r="K5" i="4" s="1"/>
  <c r="C13" i="1"/>
  <c r="C7" i="4"/>
  <c r="F13" i="1"/>
  <c r="F7" i="4"/>
  <c r="D13" i="1"/>
  <c r="D7" i="4"/>
  <c r="G13" i="1"/>
  <c r="G7" i="4"/>
  <c r="E13" i="1"/>
  <c r="E7" i="4"/>
  <c r="B13" i="1"/>
  <c r="H13" i="1"/>
  <c r="H7" i="4"/>
  <c r="J52" i="4" l="1"/>
  <c r="M9" i="16"/>
  <c r="M10" i="16" s="1"/>
  <c r="G9" i="15" s="1"/>
  <c r="M11" i="16"/>
  <c r="L9" i="16"/>
  <c r="L10" i="16" s="1"/>
  <c r="F9" i="15" s="1"/>
  <c r="F11" i="15" s="1"/>
  <c r="F13" i="15" s="1"/>
  <c r="L11" i="16"/>
  <c r="I31" i="4"/>
  <c r="K9" i="16"/>
  <c r="K10" i="16" s="1"/>
  <c r="E9" i="15" s="1"/>
  <c r="E11" i="15" s="1"/>
  <c r="E13" i="15" s="1"/>
  <c r="K11" i="16"/>
  <c r="J9" i="16"/>
  <c r="J10" i="16" s="1"/>
  <c r="D9" i="15" s="1"/>
  <c r="D11" i="15" s="1"/>
  <c r="D13" i="15" s="1"/>
  <c r="J11" i="16"/>
  <c r="G11" i="15"/>
  <c r="I9" i="16"/>
  <c r="I10" i="16" s="1"/>
  <c r="C9" i="15" s="1"/>
  <c r="C11" i="15" s="1"/>
  <c r="C13" i="15" s="1"/>
  <c r="I11" i="16"/>
  <c r="G8" i="4"/>
  <c r="G9" i="4"/>
  <c r="G25" i="8" s="1"/>
  <c r="G28" i="8" s="1"/>
  <c r="G29" i="8" s="1"/>
  <c r="C2" i="17"/>
  <c r="G15" i="1"/>
  <c r="C4" i="8"/>
  <c r="G3" i="8" s="1"/>
  <c r="G6" i="8" s="1"/>
  <c r="Q3" i="8" s="1"/>
  <c r="I37" i="4"/>
  <c r="J37" i="4"/>
  <c r="K37" i="4" s="1"/>
  <c r="G3" i="7"/>
  <c r="H8" i="4"/>
  <c r="H9" i="4"/>
  <c r="H15" i="1"/>
  <c r="B9" i="4"/>
  <c r="B15" i="1"/>
  <c r="E8" i="4"/>
  <c r="E9" i="4"/>
  <c r="E15" i="1"/>
  <c r="C9" i="4"/>
  <c r="C8" i="4"/>
  <c r="C15" i="1"/>
  <c r="D9" i="4"/>
  <c r="D8" i="4"/>
  <c r="D15" i="1"/>
  <c r="E3" i="7"/>
  <c r="F8" i="4"/>
  <c r="F9" i="4"/>
  <c r="F25" i="8" s="1"/>
  <c r="F28" i="8" s="1"/>
  <c r="F29" i="8" s="1"/>
  <c r="F15" i="1"/>
  <c r="B4" i="8"/>
  <c r="F3" i="8" s="1"/>
  <c r="F6" i="8" s="1"/>
  <c r="H11" i="15"/>
  <c r="H13" i="15" s="1"/>
  <c r="G13" i="15"/>
  <c r="J7" i="4"/>
  <c r="I7" i="4"/>
  <c r="K7" i="4" s="1"/>
  <c r="B3" i="7"/>
  <c r="F3" i="7"/>
  <c r="C3" i="7"/>
  <c r="D3" i="7"/>
  <c r="B4" i="4"/>
  <c r="D4" i="4"/>
  <c r="F4" i="4"/>
  <c r="C4" i="4"/>
  <c r="H4" i="4"/>
  <c r="E4" i="4"/>
  <c r="G4" i="4"/>
  <c r="E17" i="9" l="1"/>
  <c r="E18" i="9" s="1"/>
  <c r="F17" i="9"/>
  <c r="F18" i="9" s="1"/>
  <c r="C17" i="9"/>
  <c r="C18" i="9" s="1"/>
  <c r="E11" i="9"/>
  <c r="F11" i="9"/>
  <c r="B17" i="9"/>
  <c r="B18" i="9" s="1"/>
  <c r="C11" i="9"/>
  <c r="D17" i="9"/>
  <c r="D18" i="9" s="1"/>
  <c r="B14" i="15"/>
  <c r="B16" i="15" s="1"/>
  <c r="B17" i="15" s="1"/>
  <c r="H6" i="8"/>
  <c r="P3" i="8"/>
  <c r="C13" i="17"/>
  <c r="C14" i="17" s="1"/>
  <c r="C8" i="17"/>
  <c r="B11" i="9"/>
  <c r="D11" i="9"/>
  <c r="I4" i="4"/>
  <c r="K4" i="4" s="1"/>
  <c r="J4" i="4"/>
  <c r="I8" i="4"/>
  <c r="K8" i="4" s="1"/>
  <c r="J8" i="4"/>
  <c r="D14" i="9" l="1"/>
  <c r="D15" i="9" s="1"/>
  <c r="D12" i="9"/>
  <c r="D2" i="14" s="1"/>
  <c r="D7" i="14" s="1"/>
  <c r="D9" i="14" s="1"/>
  <c r="C14" i="9"/>
  <c r="C15" i="9" s="1"/>
  <c r="C12" i="9"/>
  <c r="C2" i="14" s="1"/>
  <c r="C7" i="14" s="1"/>
  <c r="C9" i="14" s="1"/>
  <c r="B14" i="9"/>
  <c r="B15" i="9" s="1"/>
  <c r="B12" i="9"/>
  <c r="B2" i="14" s="1"/>
  <c r="B7" i="14" s="1"/>
  <c r="B9" i="14" s="1"/>
  <c r="F14" i="9"/>
  <c r="F15" i="9" s="1"/>
  <c r="F12" i="9"/>
  <c r="F2" i="14" s="1"/>
  <c r="E14" i="9"/>
  <c r="E15" i="9" s="1"/>
  <c r="E12" i="9"/>
  <c r="E2" i="14" s="1"/>
  <c r="E7" i="14" s="1"/>
  <c r="E9" i="14" s="1"/>
  <c r="C10" i="17"/>
  <c r="E8" i="17"/>
  <c r="E10" i="17" s="1"/>
  <c r="G14" i="3"/>
  <c r="F7" i="14" l="1"/>
  <c r="F9" i="14" s="1"/>
  <c r="G7" i="14"/>
  <c r="G9" i="14" s="1"/>
  <c r="G17" i="3"/>
  <c r="G19" i="3" s="1"/>
  <c r="H18" i="3" s="1"/>
  <c r="H14" i="3"/>
  <c r="H17" i="3" s="1"/>
  <c r="H19" i="3" l="1"/>
  <c r="B10" i="14"/>
  <c r="B11" i="14" s="1"/>
</calcChain>
</file>

<file path=xl/sharedStrings.xml><?xml version="1.0" encoding="utf-8"?>
<sst xmlns="http://schemas.openxmlformats.org/spreadsheetml/2006/main" count="1651" uniqueCount="1539">
  <si>
    <t>Details ($m)</t>
  </si>
  <si>
    <t>Notes</t>
  </si>
  <si>
    <t>Continuing Operations</t>
  </si>
  <si>
    <t>Operating Revenue</t>
  </si>
  <si>
    <t>Cost of Sales</t>
  </si>
  <si>
    <t>Gross Profit</t>
  </si>
  <si>
    <t>Other Revenue</t>
  </si>
  <si>
    <t>Depreciation</t>
  </si>
  <si>
    <t>Operating Expenses</t>
  </si>
  <si>
    <t>EBIT</t>
  </si>
  <si>
    <t>Net Interest Expense</t>
  </si>
  <si>
    <t>PBT</t>
  </si>
  <si>
    <t>Income tax</t>
  </si>
  <si>
    <t>NPAT</t>
  </si>
  <si>
    <t>EPS</t>
  </si>
  <si>
    <t>Breville Annual Reports</t>
  </si>
  <si>
    <t>Emploee benefits expenses+premises and utilities expenses+ advertising &amp;markeing expenses+other expenses</t>
  </si>
  <si>
    <t>Assets</t>
  </si>
  <si>
    <t>Cash</t>
  </si>
  <si>
    <t>Receivables</t>
  </si>
  <si>
    <t>Inventories</t>
  </si>
  <si>
    <t>Other Current Assets</t>
  </si>
  <si>
    <t>Financial Assets</t>
  </si>
  <si>
    <t>Total Current Assets</t>
  </si>
  <si>
    <t>Net PPE</t>
  </si>
  <si>
    <t>Intangibles</t>
  </si>
  <si>
    <t>DTA</t>
  </si>
  <si>
    <t>Other Non-Current Asset</t>
  </si>
  <si>
    <t>Non-Current Financial Assets</t>
  </si>
  <si>
    <t>Total Non-Current Assets</t>
  </si>
  <si>
    <t>Total Assets</t>
  </si>
  <si>
    <t>Liabilities and Equity</t>
  </si>
  <si>
    <t>Payables</t>
  </si>
  <si>
    <t>Lease Liabilities</t>
  </si>
  <si>
    <t>Other CL</t>
  </si>
  <si>
    <t>Current tax payable + Other CL + Provisions</t>
  </si>
  <si>
    <t>Financial Liabilities</t>
  </si>
  <si>
    <t>Total Current Liabilities</t>
  </si>
  <si>
    <t>Other Non-Current Liabilities</t>
  </si>
  <si>
    <t>Non-Current Financial Liabilities</t>
  </si>
  <si>
    <t xml:space="preserve">Borrowings + Other financial liabilities </t>
  </si>
  <si>
    <t>Total Non-Current Liabilities</t>
  </si>
  <si>
    <t>Issed Capital</t>
  </si>
  <si>
    <t xml:space="preserve">Reserves </t>
  </si>
  <si>
    <t xml:space="preserve">Retained Earnings </t>
  </si>
  <si>
    <t xml:space="preserve">Total Equity </t>
  </si>
  <si>
    <t>Total Liabilites and Equity</t>
  </si>
  <si>
    <t>-</t>
  </si>
  <si>
    <t>Provisions+other payables+derred tax liabilites</t>
  </si>
  <si>
    <t>Cash Flow from Operating Activities</t>
  </si>
  <si>
    <t>Receipts from Customers</t>
  </si>
  <si>
    <t>Payments to suppliers and employees</t>
  </si>
  <si>
    <t>Net financing costs paid</t>
  </si>
  <si>
    <t>Interest on lease liabilities</t>
  </si>
  <si>
    <t>Income taxes paid</t>
  </si>
  <si>
    <t>Net Cash Flow from Operating Activities</t>
  </si>
  <si>
    <t>Cash Flow from Investing Activities</t>
  </si>
  <si>
    <t>Net Capital Expenditure</t>
  </si>
  <si>
    <t>Balancing figure</t>
  </si>
  <si>
    <t>Other Investing activities</t>
  </si>
  <si>
    <t>Dividend + investments</t>
  </si>
  <si>
    <t>Net Cash Flow from Investing Activities</t>
  </si>
  <si>
    <t>Cash Flow from Financing Activities</t>
  </si>
  <si>
    <t>Net Cash Flow from Financing Activities</t>
  </si>
  <si>
    <t>Net change in cash and cash equivalents</t>
  </si>
  <si>
    <t>Cash and cash equivalents at the start of the year</t>
  </si>
  <si>
    <t>Cash and cash equivalents at the end of the year</t>
  </si>
  <si>
    <t>Finance Income received</t>
  </si>
  <si>
    <t xml:space="preserve">Net foreign exchange difference </t>
  </si>
  <si>
    <t xml:space="preserve">Details </t>
  </si>
  <si>
    <t>Average</t>
  </si>
  <si>
    <t>Median</t>
  </si>
  <si>
    <t>Ratio for forecast</t>
  </si>
  <si>
    <t>Profitability Ratios</t>
  </si>
  <si>
    <t>Gross Margin</t>
  </si>
  <si>
    <t>Profit Margin</t>
  </si>
  <si>
    <t>EBIT Margin</t>
  </si>
  <si>
    <t>EBITDA Margin</t>
  </si>
  <si>
    <t>ROA</t>
  </si>
  <si>
    <t>ROE</t>
  </si>
  <si>
    <t>RNOA</t>
  </si>
  <si>
    <t>FLLEV</t>
  </si>
  <si>
    <t>NBC</t>
  </si>
  <si>
    <t>Spread</t>
  </si>
  <si>
    <t>Asset Management Ratios</t>
  </si>
  <si>
    <t>Short-term Asset Management</t>
  </si>
  <si>
    <t>Working Capital Turnover</t>
  </si>
  <si>
    <t>Working Capital to Revenue</t>
  </si>
  <si>
    <t>Inventory Turnover Ratio</t>
  </si>
  <si>
    <t>Capex to Sales</t>
  </si>
  <si>
    <t>Number of working days in the year</t>
  </si>
  <si>
    <t>Long-term Asset Management</t>
  </si>
  <si>
    <t>Long-term Asset Turnover</t>
  </si>
  <si>
    <t xml:space="preserve">PP&amp;E Turnover </t>
  </si>
  <si>
    <t>Asset Turnover ratio</t>
  </si>
  <si>
    <t>Debt and Safety Ratios</t>
  </si>
  <si>
    <t>Liquidity Ratios</t>
  </si>
  <si>
    <t>Current Ratio</t>
  </si>
  <si>
    <t>Quick Ratio</t>
  </si>
  <si>
    <t>Cash Ratio</t>
  </si>
  <si>
    <t>Cash to Sales</t>
  </si>
  <si>
    <t>Capital Structure Leverage (Debt to Equity)</t>
  </si>
  <si>
    <t>Gross Gearing</t>
  </si>
  <si>
    <t>Net Gearing</t>
  </si>
  <si>
    <t>Interest coverage ratio</t>
  </si>
  <si>
    <t>Other Ratios</t>
  </si>
  <si>
    <t>Implied Interest Rate</t>
  </si>
  <si>
    <t>Effective Tax Rate</t>
  </si>
  <si>
    <t>Dividend Payout Ratio</t>
  </si>
  <si>
    <t>Ratios for Forecasting</t>
  </si>
  <si>
    <t>Sales Growth</t>
  </si>
  <si>
    <t>Operating Expense to Sales</t>
  </si>
  <si>
    <t>Depreciation to PPE</t>
  </si>
  <si>
    <t>Receivables to Sales</t>
  </si>
  <si>
    <t>Inventories to Sales</t>
  </si>
  <si>
    <t>Payables to Sales</t>
  </si>
  <si>
    <t>PPE to Sales</t>
  </si>
  <si>
    <t>Intangibles to Sales</t>
  </si>
  <si>
    <t>Lease Liabilities to Sales</t>
  </si>
  <si>
    <t>Other financial assets to sales</t>
  </si>
  <si>
    <t>Year</t>
  </si>
  <si>
    <t>Net Income</t>
  </si>
  <si>
    <t>M-Score</t>
  </si>
  <si>
    <t xml:space="preserve"> </t>
  </si>
  <si>
    <t>Earnings Change</t>
  </si>
  <si>
    <t xml:space="preserve">NPAT after Abnormals </t>
  </si>
  <si>
    <t>Abnormals</t>
  </si>
  <si>
    <t>Revenue</t>
  </si>
  <si>
    <t>Average 2y Total Assets</t>
  </si>
  <si>
    <t>Average 2y Stockholder Equity</t>
  </si>
  <si>
    <t xml:space="preserve">Breville Limited </t>
  </si>
  <si>
    <t xml:space="preserve">Ratios </t>
  </si>
  <si>
    <t>Profitability Ratio</t>
  </si>
  <si>
    <t>Asset Turnover Ratio</t>
  </si>
  <si>
    <t>Leverage Ratio</t>
  </si>
  <si>
    <t>Simple Dupont ROE</t>
  </si>
  <si>
    <t xml:space="preserve">Average </t>
  </si>
  <si>
    <t xml:space="preserve">Simple Dupont - Breville Limited </t>
  </si>
  <si>
    <t>De'Longhi</t>
  </si>
  <si>
    <t>Simple Dupont - De'Longhi</t>
  </si>
  <si>
    <t>Simple Dupont - Hamilton Beach Ltd</t>
  </si>
  <si>
    <t>Hamilton Beach Ltd</t>
  </si>
  <si>
    <t>Breville</t>
  </si>
  <si>
    <t>Hamilton Beach</t>
  </si>
  <si>
    <t>Companies</t>
  </si>
  <si>
    <t>FLEV</t>
  </si>
  <si>
    <t>Advanced Dupont ROE</t>
  </si>
  <si>
    <t xml:space="preserve">Advanced Dupont - Breville Limited </t>
  </si>
  <si>
    <t xml:space="preserve">toatal assets </t>
  </si>
  <si>
    <t xml:space="preserve">equity </t>
  </si>
  <si>
    <t xml:space="preserve">Dividend </t>
  </si>
  <si>
    <t>This is calculated as number of days in the year minus weekends minus public holidays. Refer to: https://australia.workingdays.org/how_many_working_days_in_year_2024_Australian%20Capital%20Territory.htm</t>
  </si>
  <si>
    <t>Cost of Goods Sold</t>
  </si>
  <si>
    <t>EBITDA</t>
  </si>
  <si>
    <t xml:space="preserve">Interest Expense </t>
  </si>
  <si>
    <t>EBT</t>
  </si>
  <si>
    <t>Income Tax</t>
  </si>
  <si>
    <t>Less: Tax</t>
  </si>
  <si>
    <t>NOPAT</t>
  </si>
  <si>
    <t>Tax Savings</t>
  </si>
  <si>
    <t>NFE</t>
  </si>
  <si>
    <t>PPE</t>
  </si>
  <si>
    <t>Total Operating Assets</t>
  </si>
  <si>
    <t>Total Operating Liabilities</t>
  </si>
  <si>
    <t>Net Operating Assets (NOA)</t>
  </si>
  <si>
    <t xml:space="preserve">Other Financial Assets </t>
  </si>
  <si>
    <t>Financial Obligations</t>
  </si>
  <si>
    <t>Net Financial Obligations (Assets)</t>
  </si>
  <si>
    <t xml:space="preserve">Debt to Assets </t>
  </si>
  <si>
    <t>Market Capitalisation ($m)</t>
  </si>
  <si>
    <t>Total Debt ($m)</t>
  </si>
  <si>
    <t>Beta</t>
  </si>
  <si>
    <t>Equity Premium (%)</t>
  </si>
  <si>
    <t>http://pages.stern.nyu.edu/~adamodar/New_Home_Page/datafile/ctryprem.html</t>
  </si>
  <si>
    <t>Risk-free Rate (%)</t>
  </si>
  <si>
    <t>https://www.bloomberg.com/markets/rates-bonds/government-bonds/australia</t>
  </si>
  <si>
    <t>Cost of equity (%)</t>
  </si>
  <si>
    <t>Cost of debt (%)</t>
  </si>
  <si>
    <t>Marginal Tax Rate (%)</t>
  </si>
  <si>
    <t>WACC</t>
  </si>
  <si>
    <t xml:space="preserve">Interest expense on debt </t>
  </si>
  <si>
    <t xml:space="preserve">Source: DatAnalysis Premium </t>
  </si>
  <si>
    <t>Date</t>
  </si>
  <si>
    <t>Adj Close</t>
  </si>
  <si>
    <t>Oct 25, 2024</t>
  </si>
  <si>
    <t>Oct 24, 2024</t>
  </si>
  <si>
    <t>Oct 23, 2024</t>
  </si>
  <si>
    <t>Oct 22, 2024</t>
  </si>
  <si>
    <t>Oct 21, 2024</t>
  </si>
  <si>
    <t>Oct 18, 2024</t>
  </si>
  <si>
    <t>Oct 17, 2024</t>
  </si>
  <si>
    <t>Oct 16, 2024</t>
  </si>
  <si>
    <t>Oct 15, 2024</t>
  </si>
  <si>
    <t>Oct 14, 2024</t>
  </si>
  <si>
    <t>Oct 11, 2024</t>
  </si>
  <si>
    <t>Oct 10, 2024</t>
  </si>
  <si>
    <t>Oct 9, 2024</t>
  </si>
  <si>
    <t>Oct 8, 2024</t>
  </si>
  <si>
    <t>Oct 7, 2024</t>
  </si>
  <si>
    <t>Oct 4, 2024</t>
  </si>
  <si>
    <t>Oct 3, 2024</t>
  </si>
  <si>
    <t>Oct 2, 2024</t>
  </si>
  <si>
    <t>Oct 1, 2024</t>
  </si>
  <si>
    <t>Sep 30, 2024</t>
  </si>
  <si>
    <t>Sep 27, 2024</t>
  </si>
  <si>
    <t>Sep 26, 2024</t>
  </si>
  <si>
    <t>Sep 25, 2024</t>
  </si>
  <si>
    <t>Sep 24, 2024</t>
  </si>
  <si>
    <t>Sep 23, 2024</t>
  </si>
  <si>
    <t>Sep 20, 2024</t>
  </si>
  <si>
    <t>Sep 19, 2024</t>
  </si>
  <si>
    <t>Sep 18, 2024</t>
  </si>
  <si>
    <t>Sep 17, 2024</t>
  </si>
  <si>
    <t>Sep 16, 2024</t>
  </si>
  <si>
    <t>Sep 13, 2024</t>
  </si>
  <si>
    <t>Sep 12, 2024</t>
  </si>
  <si>
    <t>Sep 11, 2024</t>
  </si>
  <si>
    <t>Sep 10, 2024</t>
  </si>
  <si>
    <t>Sep 9, 2024</t>
  </si>
  <si>
    <t>Sep 6, 2024</t>
  </si>
  <si>
    <t>Sep 5, 2024</t>
  </si>
  <si>
    <t>Sep 4, 2024</t>
  </si>
  <si>
    <t>Sep 3, 2024</t>
  </si>
  <si>
    <t>Sep 2, 2024</t>
  </si>
  <si>
    <t>Aug 30, 2024</t>
  </si>
  <si>
    <t>Aug 29, 2024</t>
  </si>
  <si>
    <t>Aug 28, 2024</t>
  </si>
  <si>
    <t>Aug 27, 2024</t>
  </si>
  <si>
    <t>Aug 26, 2024</t>
  </si>
  <si>
    <t>Aug 23, 2024</t>
  </si>
  <si>
    <t>Aug 22, 2024</t>
  </si>
  <si>
    <t>Aug 21, 2024</t>
  </si>
  <si>
    <t>Aug 20, 2024</t>
  </si>
  <si>
    <t>Aug 19, 2024</t>
  </si>
  <si>
    <t>Aug 16, 2024</t>
  </si>
  <si>
    <t>Aug 15, 2024</t>
  </si>
  <si>
    <t>Aug 14, 2024</t>
  </si>
  <si>
    <t>Aug 13, 2024</t>
  </si>
  <si>
    <t>Aug 12, 2024</t>
  </si>
  <si>
    <t>Aug 9, 2024</t>
  </si>
  <si>
    <t>Aug 8, 2024</t>
  </si>
  <si>
    <t>Aug 7, 2024</t>
  </si>
  <si>
    <t>Aug 6, 2024</t>
  </si>
  <si>
    <t>Aug 5, 2024</t>
  </si>
  <si>
    <t>Aug 2, 2024</t>
  </si>
  <si>
    <t>Aug 1, 2024</t>
  </si>
  <si>
    <t>Jul 31, 2024</t>
  </si>
  <si>
    <t>Jul 30, 2024</t>
  </si>
  <si>
    <t>Jul 29, 2024</t>
  </si>
  <si>
    <t>Jul 26, 2024</t>
  </si>
  <si>
    <t>Jul 25, 2024</t>
  </si>
  <si>
    <t>Jul 24, 2024</t>
  </si>
  <si>
    <t>Jul 23, 2024</t>
  </si>
  <si>
    <t>Jul 22, 2024</t>
  </si>
  <si>
    <t>Jul 19, 2024</t>
  </si>
  <si>
    <t>Jul 18, 2024</t>
  </si>
  <si>
    <t>Jul 17, 2024</t>
  </si>
  <si>
    <t>Jul 16, 2024</t>
  </si>
  <si>
    <t>Jul 15, 2024</t>
  </si>
  <si>
    <t>Jul 12, 2024</t>
  </si>
  <si>
    <t>Jul 11, 2024</t>
  </si>
  <si>
    <t>Jul 10, 2024</t>
  </si>
  <si>
    <t>Jul 9, 2024</t>
  </si>
  <si>
    <t>Jul 8, 2024</t>
  </si>
  <si>
    <t>Jul 5, 2024</t>
  </si>
  <si>
    <t>Jul 4, 2024</t>
  </si>
  <si>
    <t>Jul 3, 2024</t>
  </si>
  <si>
    <t>Jul 2, 2024</t>
  </si>
  <si>
    <t>Jul 1, 2024</t>
  </si>
  <si>
    <t>Jun 28, 2024</t>
  </si>
  <si>
    <t>Jun 27, 2024</t>
  </si>
  <si>
    <t>Jun 26, 2024</t>
  </si>
  <si>
    <t>Jun 25, 2024</t>
  </si>
  <si>
    <t>Jun 24, 2024</t>
  </si>
  <si>
    <t>Jun 21, 2024</t>
  </si>
  <si>
    <t>Jun 20, 2024</t>
  </si>
  <si>
    <t>Jun 19, 2024</t>
  </si>
  <si>
    <t>Jun 18, 2024</t>
  </si>
  <si>
    <t>Jun 17, 2024</t>
  </si>
  <si>
    <t>Jun 14, 2024</t>
  </si>
  <si>
    <t>Jun 13, 2024</t>
  </si>
  <si>
    <t>Jun 12, 2024</t>
  </si>
  <si>
    <t>Jun 11, 2024</t>
  </si>
  <si>
    <t>Jun 7, 2024</t>
  </si>
  <si>
    <t>Jun 6, 2024</t>
  </si>
  <si>
    <t>Jun 5, 2024</t>
  </si>
  <si>
    <t>Jun 4, 2024</t>
  </si>
  <si>
    <t>Jun 3, 2024</t>
  </si>
  <si>
    <t>May 31, 2024</t>
  </si>
  <si>
    <t>May 30, 2024</t>
  </si>
  <si>
    <t>May 29, 2024</t>
  </si>
  <si>
    <t>May 28, 2024</t>
  </si>
  <si>
    <t>May 27, 2024</t>
  </si>
  <si>
    <t>May 24, 2024</t>
  </si>
  <si>
    <t>May 23, 2024</t>
  </si>
  <si>
    <t>May 22, 2024</t>
  </si>
  <si>
    <t>May 21, 2024</t>
  </si>
  <si>
    <t>May 20, 2024</t>
  </si>
  <si>
    <t>May 17, 2024</t>
  </si>
  <si>
    <t>May 16, 2024</t>
  </si>
  <si>
    <t>May 15, 2024</t>
  </si>
  <si>
    <t>May 14, 2024</t>
  </si>
  <si>
    <t>May 13, 2024</t>
  </si>
  <si>
    <t>May 10, 2024</t>
  </si>
  <si>
    <t>May 9, 2024</t>
  </si>
  <si>
    <t>May 8, 2024</t>
  </si>
  <si>
    <t>May 7, 2024</t>
  </si>
  <si>
    <t>May 6, 2024</t>
  </si>
  <si>
    <t>May 3, 2024</t>
  </si>
  <si>
    <t>May 2, 2024</t>
  </si>
  <si>
    <t>May 1, 2024</t>
  </si>
  <si>
    <t>Apr 30, 2024</t>
  </si>
  <si>
    <t>Apr 29, 2024</t>
  </si>
  <si>
    <t>Apr 26, 2024</t>
  </si>
  <si>
    <t>Apr 24, 2024</t>
  </si>
  <si>
    <t>Apr 23, 2024</t>
  </si>
  <si>
    <t>Apr 22, 2024</t>
  </si>
  <si>
    <t>Apr 19, 2024</t>
  </si>
  <si>
    <t>Apr 18, 2024</t>
  </si>
  <si>
    <t>Apr 17, 2024</t>
  </si>
  <si>
    <t>Apr 16, 2024</t>
  </si>
  <si>
    <t>Apr 15, 2024</t>
  </si>
  <si>
    <t>Apr 12, 2024</t>
  </si>
  <si>
    <t>Apr 11, 2024</t>
  </si>
  <si>
    <t>Apr 10, 2024</t>
  </si>
  <si>
    <t>Apr 9, 2024</t>
  </si>
  <si>
    <t>Apr 8, 2024</t>
  </si>
  <si>
    <t>Apr 5, 2024</t>
  </si>
  <si>
    <t>Apr 4, 2024</t>
  </si>
  <si>
    <t>Apr 3, 2024</t>
  </si>
  <si>
    <t>Apr 2, 2024</t>
  </si>
  <si>
    <t>Mar 28, 2024</t>
  </si>
  <si>
    <t>Mar 27, 2024</t>
  </si>
  <si>
    <t>Mar 26, 2024</t>
  </si>
  <si>
    <t>Mar 25, 2024</t>
  </si>
  <si>
    <t>Mar 22, 2024</t>
  </si>
  <si>
    <t>Mar 21, 2024</t>
  </si>
  <si>
    <t>Mar 20, 2024</t>
  </si>
  <si>
    <t>Mar 19, 2024</t>
  </si>
  <si>
    <t>Mar 18, 2024</t>
  </si>
  <si>
    <t>Mar 15, 2024</t>
  </si>
  <si>
    <t>Mar 14, 2024</t>
  </si>
  <si>
    <t>Mar 13, 2024</t>
  </si>
  <si>
    <t>Mar 12, 2024</t>
  </si>
  <si>
    <t>Mar 11, 2024</t>
  </si>
  <si>
    <t>Mar 8, 2024</t>
  </si>
  <si>
    <t>Mar 7, 2024</t>
  </si>
  <si>
    <t>Mar 6, 2024</t>
  </si>
  <si>
    <t>Mar 5, 2024</t>
  </si>
  <si>
    <t>Mar 4, 2024</t>
  </si>
  <si>
    <t>Mar 1, 2024</t>
  </si>
  <si>
    <t>Feb 29, 2024</t>
  </si>
  <si>
    <t>Feb 28, 2024</t>
  </si>
  <si>
    <t>Feb 27, 2024</t>
  </si>
  <si>
    <t>Feb 26, 2024</t>
  </si>
  <si>
    <t>Feb 23, 2024</t>
  </si>
  <si>
    <t>Feb 22, 2024</t>
  </si>
  <si>
    <t>Feb 21, 2024</t>
  </si>
  <si>
    <t>Feb 20, 2024</t>
  </si>
  <si>
    <t>Feb 19, 2024</t>
  </si>
  <si>
    <t>Feb 16, 2024</t>
  </si>
  <si>
    <t>Feb 15, 2024</t>
  </si>
  <si>
    <t>Feb 14, 2024</t>
  </si>
  <si>
    <t>Feb 13, 2024</t>
  </si>
  <si>
    <t>Feb 12, 2024</t>
  </si>
  <si>
    <t>Feb 9, 2024</t>
  </si>
  <si>
    <t>Feb 8, 2024</t>
  </si>
  <si>
    <t>Feb 7, 2024</t>
  </si>
  <si>
    <t>Feb 6, 2024</t>
  </si>
  <si>
    <t>Feb 5, 2024</t>
  </si>
  <si>
    <t>Feb 2, 2024</t>
  </si>
  <si>
    <t>Feb 1, 2024</t>
  </si>
  <si>
    <t>Jan 31, 2024</t>
  </si>
  <si>
    <t>Jan 30, 2024</t>
  </si>
  <si>
    <t>Jan 29, 2024</t>
  </si>
  <si>
    <t>Jan 25, 2024</t>
  </si>
  <si>
    <t>Jan 24, 2024</t>
  </si>
  <si>
    <t>Jan 23, 2024</t>
  </si>
  <si>
    <t>Jan 22, 2024</t>
  </si>
  <si>
    <t>Jan 19, 2024</t>
  </si>
  <si>
    <t>Jan 18, 2024</t>
  </si>
  <si>
    <t>Jan 17, 2024</t>
  </si>
  <si>
    <t>Jan 16, 2024</t>
  </si>
  <si>
    <t>Jan 15, 2024</t>
  </si>
  <si>
    <t>Jan 12, 2024</t>
  </si>
  <si>
    <t>Jan 11, 2024</t>
  </si>
  <si>
    <t>Jan 10, 2024</t>
  </si>
  <si>
    <t>Jan 9, 2024</t>
  </si>
  <si>
    <t>Jan 8, 2024</t>
  </si>
  <si>
    <t>Jan 5, 2024</t>
  </si>
  <si>
    <t>Jan 4, 2024</t>
  </si>
  <si>
    <t>Jan 3, 2024</t>
  </si>
  <si>
    <t>Jan 2, 2024</t>
  </si>
  <si>
    <t>Dec 29, 2023</t>
  </si>
  <si>
    <t>Dec 28, 2023</t>
  </si>
  <si>
    <t>Dec 27, 2023</t>
  </si>
  <si>
    <t>Dec 22, 2023</t>
  </si>
  <si>
    <t>Dec 21, 2023</t>
  </si>
  <si>
    <t>Dec 20, 2023</t>
  </si>
  <si>
    <t>Dec 19, 2023</t>
  </si>
  <si>
    <t>Dec 18, 2023</t>
  </si>
  <si>
    <t>Dec 15, 2023</t>
  </si>
  <si>
    <t>Dec 14, 2023</t>
  </si>
  <si>
    <t>Dec 13, 2023</t>
  </si>
  <si>
    <t>Dec 12, 2023</t>
  </si>
  <si>
    <t>Dec 11, 2023</t>
  </si>
  <si>
    <t>Dec 8, 2023</t>
  </si>
  <si>
    <t>Dec 7, 2023</t>
  </si>
  <si>
    <t>Dec 6, 2023</t>
  </si>
  <si>
    <t>Dec 5, 2023</t>
  </si>
  <si>
    <t>Dec 4, 2023</t>
  </si>
  <si>
    <t>Dec 1, 2023</t>
  </si>
  <si>
    <t>Nov 30, 2023</t>
  </si>
  <si>
    <t>Nov 29, 2023</t>
  </si>
  <si>
    <t>Nov 28, 2023</t>
  </si>
  <si>
    <t>Nov 27, 2023</t>
  </si>
  <si>
    <t>Nov 24, 2023</t>
  </si>
  <si>
    <t>Nov 23, 2023</t>
  </si>
  <si>
    <t>Nov 22, 2023</t>
  </si>
  <si>
    <t>Nov 21, 2023</t>
  </si>
  <si>
    <t>Nov 20, 2023</t>
  </si>
  <si>
    <t>Nov 17, 2023</t>
  </si>
  <si>
    <t>Nov 16, 2023</t>
  </si>
  <si>
    <t>Nov 15, 2023</t>
  </si>
  <si>
    <t>Nov 14, 2023</t>
  </si>
  <si>
    <t>Nov 13, 2023</t>
  </si>
  <si>
    <t>Nov 10, 2023</t>
  </si>
  <si>
    <t>Nov 9, 2023</t>
  </si>
  <si>
    <t>Nov 8, 2023</t>
  </si>
  <si>
    <t>Nov 7, 2023</t>
  </si>
  <si>
    <t>Nov 6, 2023</t>
  </si>
  <si>
    <t>Nov 3, 2023</t>
  </si>
  <si>
    <t>Nov 2, 2023</t>
  </si>
  <si>
    <t>Nov 1, 2023</t>
  </si>
  <si>
    <t>Oct 31, 2023</t>
  </si>
  <si>
    <t>Oct 30, 2023</t>
  </si>
  <si>
    <t>Oct 27, 2023</t>
  </si>
  <si>
    <t>Oct 26, 2023</t>
  </si>
  <si>
    <t>Oct 25, 2023</t>
  </si>
  <si>
    <t>Oct 24, 2023</t>
  </si>
  <si>
    <t>Oct 23, 2023</t>
  </si>
  <si>
    <t>Oct 20, 2023</t>
  </si>
  <si>
    <t>Oct 19, 2023</t>
  </si>
  <si>
    <t>Oct 18, 2023</t>
  </si>
  <si>
    <t>Oct 17, 2023</t>
  </si>
  <si>
    <t>Oct 16, 2023</t>
  </si>
  <si>
    <t>Oct 13, 2023</t>
  </si>
  <si>
    <t>Oct 12, 2023</t>
  </si>
  <si>
    <t>Oct 11, 2023</t>
  </si>
  <si>
    <t>Oct 10, 2023</t>
  </si>
  <si>
    <t>Oct 9, 2023</t>
  </si>
  <si>
    <t>Oct 6, 2023</t>
  </si>
  <si>
    <t>Oct 5, 2023</t>
  </si>
  <si>
    <t>Oct 4, 2023</t>
  </si>
  <si>
    <t>Oct 3, 2023</t>
  </si>
  <si>
    <t>Oct 2, 2023</t>
  </si>
  <si>
    <t>Sep 29, 2023</t>
  </si>
  <si>
    <t>Sep 28, 2023</t>
  </si>
  <si>
    <t>Sep 27, 2023</t>
  </si>
  <si>
    <t>Sep 26, 2023</t>
  </si>
  <si>
    <t>Sep 25, 2023</t>
  </si>
  <si>
    <t>Sep 22, 2023</t>
  </si>
  <si>
    <t>Sep 21, 2023</t>
  </si>
  <si>
    <t>Sep 20, 2023</t>
  </si>
  <si>
    <t>Sep 19, 2023</t>
  </si>
  <si>
    <t>Sep 18, 2023</t>
  </si>
  <si>
    <t>Sep 15, 2023</t>
  </si>
  <si>
    <t>Sep 14, 2023</t>
  </si>
  <si>
    <t>Sep 13, 2023</t>
  </si>
  <si>
    <t>Sep 12, 2023</t>
  </si>
  <si>
    <t>Sep 11, 2023</t>
  </si>
  <si>
    <t>Sep 8, 2023</t>
  </si>
  <si>
    <t>Sep 7, 2023</t>
  </si>
  <si>
    <t>Sep 6, 2023</t>
  </si>
  <si>
    <t>Sep 5, 2023</t>
  </si>
  <si>
    <t>Sep 4, 2023</t>
  </si>
  <si>
    <t>Sep 1, 2023</t>
  </si>
  <si>
    <t>Aug 31, 2023</t>
  </si>
  <si>
    <t>Aug 30, 2023</t>
  </si>
  <si>
    <t>Aug 29, 2023</t>
  </si>
  <si>
    <t>Aug 28, 2023</t>
  </si>
  <si>
    <t>Aug 25, 2023</t>
  </si>
  <si>
    <t>Aug 24, 2023</t>
  </si>
  <si>
    <t>Aug 23, 2023</t>
  </si>
  <si>
    <t>Aug 22, 2023</t>
  </si>
  <si>
    <t>Aug 21, 2023</t>
  </si>
  <si>
    <t>Aug 18, 2023</t>
  </si>
  <si>
    <t>Aug 17, 2023</t>
  </si>
  <si>
    <t>Aug 16, 2023</t>
  </si>
  <si>
    <t>Aug 15, 2023</t>
  </si>
  <si>
    <t>Aug 14, 2023</t>
  </si>
  <si>
    <t>Aug 11, 2023</t>
  </si>
  <si>
    <t>Aug 10, 2023</t>
  </si>
  <si>
    <t>Aug 9, 2023</t>
  </si>
  <si>
    <t>Aug 8, 2023</t>
  </si>
  <si>
    <t>Aug 7, 2023</t>
  </si>
  <si>
    <t>Aug 4, 2023</t>
  </si>
  <si>
    <t>Aug 3, 2023</t>
  </si>
  <si>
    <t>Aug 2, 2023</t>
  </si>
  <si>
    <t>Aug 1, 2023</t>
  </si>
  <si>
    <t>Jul 31, 2023</t>
  </si>
  <si>
    <t>Jul 28, 2023</t>
  </si>
  <si>
    <t>Jul 27, 2023</t>
  </si>
  <si>
    <t>Jul 26, 2023</t>
  </si>
  <si>
    <t>Jul 25, 2023</t>
  </si>
  <si>
    <t>Jul 24, 2023</t>
  </si>
  <si>
    <t>Jul 21, 2023</t>
  </si>
  <si>
    <t>Jul 20, 2023</t>
  </si>
  <si>
    <t>Jul 19, 2023</t>
  </si>
  <si>
    <t>Jul 18, 2023</t>
  </si>
  <si>
    <t>Jul 17, 2023</t>
  </si>
  <si>
    <t>Jul 14, 2023</t>
  </si>
  <si>
    <t>Jul 13, 2023</t>
  </si>
  <si>
    <t>Jul 12, 2023</t>
  </si>
  <si>
    <t>Jul 11, 2023</t>
  </si>
  <si>
    <t>Jul 10, 2023</t>
  </si>
  <si>
    <t>Jul 7, 2023</t>
  </si>
  <si>
    <t>Jul 6, 2023</t>
  </si>
  <si>
    <t>Jul 5, 2023</t>
  </si>
  <si>
    <t>Jul 4, 2023</t>
  </si>
  <si>
    <t>Jul 3, 2023</t>
  </si>
  <si>
    <t>Jun 30, 2023</t>
  </si>
  <si>
    <t>Jun 29, 2023</t>
  </si>
  <si>
    <t>Jun 28, 2023</t>
  </si>
  <si>
    <t>Jun 27, 2023</t>
  </si>
  <si>
    <t>Jun 26, 2023</t>
  </si>
  <si>
    <t>Jun 23, 2023</t>
  </si>
  <si>
    <t>Jun 22, 2023</t>
  </si>
  <si>
    <t>Jun 21, 2023</t>
  </si>
  <si>
    <t>Jun 20, 2023</t>
  </si>
  <si>
    <t>Jun 19, 2023</t>
  </si>
  <si>
    <t>Jun 16, 2023</t>
  </si>
  <si>
    <t>Jun 15, 2023</t>
  </si>
  <si>
    <t>Jun 14, 2023</t>
  </si>
  <si>
    <t>Jun 13, 2023</t>
  </si>
  <si>
    <t>Jun 9, 2023</t>
  </si>
  <si>
    <t>Jun 8, 2023</t>
  </si>
  <si>
    <t>Jun 7, 2023</t>
  </si>
  <si>
    <t>Jun 6, 2023</t>
  </si>
  <si>
    <t>Jun 5, 2023</t>
  </si>
  <si>
    <t>Jun 2, 2023</t>
  </si>
  <si>
    <t>Jun 1, 2023</t>
  </si>
  <si>
    <t>May 31, 2023</t>
  </si>
  <si>
    <t>May 30, 2023</t>
  </si>
  <si>
    <t>May 29, 2023</t>
  </si>
  <si>
    <t>May 26, 2023</t>
  </si>
  <si>
    <t>May 25, 2023</t>
  </si>
  <si>
    <t>May 24, 2023</t>
  </si>
  <si>
    <t>May 23, 2023</t>
  </si>
  <si>
    <t>May 22, 2023</t>
  </si>
  <si>
    <t>May 19, 2023</t>
  </si>
  <si>
    <t>May 18, 2023</t>
  </si>
  <si>
    <t>May 17, 2023</t>
  </si>
  <si>
    <t>May 16, 2023</t>
  </si>
  <si>
    <t>May 15, 2023</t>
  </si>
  <si>
    <t>May 12, 2023</t>
  </si>
  <si>
    <t>May 11, 2023</t>
  </si>
  <si>
    <t>May 10, 2023</t>
  </si>
  <si>
    <t>May 9, 2023</t>
  </si>
  <si>
    <t>May 8, 2023</t>
  </si>
  <si>
    <t>May 5, 2023</t>
  </si>
  <si>
    <t>May 4, 2023</t>
  </si>
  <si>
    <t>May 3, 2023</t>
  </si>
  <si>
    <t>May 2, 2023</t>
  </si>
  <si>
    <t>May 1, 2023</t>
  </si>
  <si>
    <t>Apr 28, 2023</t>
  </si>
  <si>
    <t>Apr 27, 2023</t>
  </si>
  <si>
    <t>Apr 26, 2023</t>
  </si>
  <si>
    <t>Apr 24, 2023</t>
  </si>
  <si>
    <t>Apr 21, 2023</t>
  </si>
  <si>
    <t>Apr 20, 2023</t>
  </si>
  <si>
    <t>Apr 19, 2023</t>
  </si>
  <si>
    <t>Apr 18, 2023</t>
  </si>
  <si>
    <t>Apr 17, 2023</t>
  </si>
  <si>
    <t>Apr 14, 2023</t>
  </si>
  <si>
    <t>Apr 13, 2023</t>
  </si>
  <si>
    <t>Apr 12, 2023</t>
  </si>
  <si>
    <t>Apr 11, 2023</t>
  </si>
  <si>
    <t>Apr 6, 2023</t>
  </si>
  <si>
    <t>Apr 5, 2023</t>
  </si>
  <si>
    <t>Apr 4, 2023</t>
  </si>
  <si>
    <t>Apr 3, 2023</t>
  </si>
  <si>
    <t>Mar 31, 2023</t>
  </si>
  <si>
    <t>Mar 30, 2023</t>
  </si>
  <si>
    <t>Mar 29, 2023</t>
  </si>
  <si>
    <t>Mar 28, 2023</t>
  </si>
  <si>
    <t>Mar 27, 2023</t>
  </si>
  <si>
    <t>Mar 24, 2023</t>
  </si>
  <si>
    <t>Mar 23, 2023</t>
  </si>
  <si>
    <t>Mar 22, 2023</t>
  </si>
  <si>
    <t>Mar 21, 2023</t>
  </si>
  <si>
    <t>Mar 20, 2023</t>
  </si>
  <si>
    <t>Mar 17, 2023</t>
  </si>
  <si>
    <t>Mar 16, 2023</t>
  </si>
  <si>
    <t>Mar 15, 2023</t>
  </si>
  <si>
    <t>Mar 14, 2023</t>
  </si>
  <si>
    <t>Mar 13, 2023</t>
  </si>
  <si>
    <t>Mar 10, 2023</t>
  </si>
  <si>
    <t>Mar 9, 2023</t>
  </si>
  <si>
    <t>Mar 8, 2023</t>
  </si>
  <si>
    <t>Mar 7, 2023</t>
  </si>
  <si>
    <t>Mar 6, 2023</t>
  </si>
  <si>
    <t>Mar 3, 2023</t>
  </si>
  <si>
    <t>Mar 2, 2023</t>
  </si>
  <si>
    <t>Mar 1, 2023</t>
  </si>
  <si>
    <t>Feb 28, 2023</t>
  </si>
  <si>
    <t>Feb 27, 2023</t>
  </si>
  <si>
    <t>Feb 24, 2023</t>
  </si>
  <si>
    <t>Feb 23, 2023</t>
  </si>
  <si>
    <t>Feb 22, 2023</t>
  </si>
  <si>
    <t>Feb 21, 2023</t>
  </si>
  <si>
    <t>Feb 20, 2023</t>
  </si>
  <si>
    <t>Feb 17, 2023</t>
  </si>
  <si>
    <t>Feb 16, 2023</t>
  </si>
  <si>
    <t>Feb 15, 2023</t>
  </si>
  <si>
    <t>Feb 14, 2023</t>
  </si>
  <si>
    <t>Feb 13, 2023</t>
  </si>
  <si>
    <t>Feb 10, 2023</t>
  </si>
  <si>
    <t>Feb 9, 2023</t>
  </si>
  <si>
    <t>Feb 8, 2023</t>
  </si>
  <si>
    <t>Feb 7, 2023</t>
  </si>
  <si>
    <t>Feb 6, 2023</t>
  </si>
  <si>
    <t>Feb 3, 2023</t>
  </si>
  <si>
    <t>Feb 2, 2023</t>
  </si>
  <si>
    <t>Feb 1, 2023</t>
  </si>
  <si>
    <t>Jan 31, 2023</t>
  </si>
  <si>
    <t>Jan 30, 2023</t>
  </si>
  <si>
    <t>Jan 27,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</si>
  <si>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</si>
  <si>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</si>
  <si>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</si>
  <si>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</si>
  <si>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</si>
  <si>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</si>
  <si>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</si>
  <si>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16, 2023</t>
  </si>
  <si>
    <t>Jan 13, 2023</t>
  </si>
  <si>
    <t>Jan 12, 2023</t>
  </si>
  <si>
    <t>Jan 11, 2023</t>
  </si>
  <si>
    <t>Jan 10, 2023</t>
  </si>
  <si>
    <t>Jan 9, 2023</t>
  </si>
  <si>
    <t>Jan 6, 2023</t>
  </si>
  <si>
    <t>Jan 5, 2023</t>
  </si>
  <si>
    <t>Jan 4, 2023</t>
  </si>
  <si>
    <t>Jan 3, 2023</t>
  </si>
  <si>
    <t>Dec 30, 2022</t>
  </si>
  <si>
    <t>Dec 29, 2022</t>
  </si>
  <si>
    <t>Dec 28,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</si>
  <si>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</si>
  <si>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</si>
  <si>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</si>
  <si>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</si>
  <si>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</si>
  <si>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</si>
  <si>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</si>
  <si>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</si>
  <si>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</si>
  <si>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</si>
  <si>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9, 2022</t>
  </si>
  <si>
    <t>Dec 8, 2022</t>
  </si>
  <si>
    <t>Dec 7, 2022</t>
  </si>
  <si>
    <t>Dec 6, 2022</t>
  </si>
  <si>
    <t>Dec 5, 2022</t>
  </si>
  <si>
    <t>Dec 2, 2022</t>
  </si>
  <si>
    <t>Dec 1, 2022</t>
  </si>
  <si>
    <t>Nov 30, 2022</t>
  </si>
  <si>
    <t>Nov 29, 2022</t>
  </si>
  <si>
    <t>Nov 28, 2022</t>
  </si>
  <si>
    <t>Nov 25, 2022</t>
  </si>
  <si>
    <t>Nov 24,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</si>
  <si>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</si>
  <si>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</si>
  <si>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</si>
  <si>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</si>
  <si>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</si>
  <si>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</si>
  <si>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</si>
  <si>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</si>
  <si>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</si>
  <si>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</si>
  <si>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9, 2022</t>
  </si>
  <si>
    <t>Nov 8, 2022</t>
  </si>
  <si>
    <t>Nov 7, 2022</t>
  </si>
  <si>
    <t>Nov 4, 2022</t>
  </si>
  <si>
    <t>Nov 3, 2022</t>
  </si>
  <si>
    <t>Nov 2, 2022</t>
  </si>
  <si>
    <t>Nov 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</si>
  <si>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</si>
  <si>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</si>
  <si>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</si>
  <si>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</si>
  <si>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</si>
  <si>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</si>
  <si>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</si>
  <si>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</si>
  <si>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</si>
  <si>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</si>
  <si>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</si>
  <si>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</si>
  <si>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</si>
  <si>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</si>
  <si>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</si>
  <si>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</si>
  <si>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7, 2022</t>
  </si>
  <si>
    <t>Oct 6, 2022</t>
  </si>
  <si>
    <t>Oct 5, 2022</t>
  </si>
  <si>
    <t>Oct 4, 2022</t>
  </si>
  <si>
    <t>Oct 3, 2022</t>
  </si>
  <si>
    <t>Sep 30, 2022</t>
  </si>
  <si>
    <t>Sep 29, 2022</t>
  </si>
  <si>
    <t>Sep 28, 2022</t>
  </si>
  <si>
    <t>Sep 27, 2022</t>
  </si>
  <si>
    <t>Sep 26, 2022</t>
  </si>
  <si>
    <t>Sep 23,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</si>
  <si>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</si>
  <si>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</si>
  <si>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</si>
  <si>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</si>
  <si>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</si>
  <si>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</si>
  <si>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</si>
  <si>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</si>
  <si>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9, 2022</t>
  </si>
  <si>
    <t>Sep 8, 2022</t>
  </si>
  <si>
    <t>Sep 7, 2022</t>
  </si>
  <si>
    <t>Sep 6, 2022</t>
  </si>
  <si>
    <t>Sep 5, 2022</t>
  </si>
  <si>
    <t>Sep 2, 2022</t>
  </si>
  <si>
    <t>Sep 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</si>
  <si>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</si>
  <si>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</si>
  <si>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</si>
  <si>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</si>
  <si>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</si>
  <si>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</si>
  <si>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</si>
  <si>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</si>
  <si>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</si>
  <si>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</si>
  <si>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</si>
  <si>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</si>
  <si>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</si>
  <si>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</si>
  <si>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</si>
  <si>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</si>
  <si>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9, 2022</t>
  </si>
  <si>
    <t>Aug 8, 2022</t>
  </si>
  <si>
    <t>Aug 5, 2022</t>
  </si>
  <si>
    <t>Aug 4, 2022</t>
  </si>
  <si>
    <t>Aug 3, 2022</t>
  </si>
  <si>
    <t>Aug 2, 2022</t>
  </si>
  <si>
    <t>Aug 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</si>
  <si>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</si>
  <si>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</si>
  <si>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</si>
  <si>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</si>
  <si>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</si>
  <si>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</si>
  <si>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</si>
  <si>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</si>
  <si>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</si>
  <si>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</si>
  <si>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</si>
  <si>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</si>
  <si>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</si>
  <si>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</si>
  <si>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</si>
  <si>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8, 2022</t>
  </si>
  <si>
    <t>Jul 7, 2022</t>
  </si>
  <si>
    <t>Jul 6, 2022</t>
  </si>
  <si>
    <t>Jul 5, 2022</t>
  </si>
  <si>
    <t>Jul 4, 2022</t>
  </si>
  <si>
    <t>Jul 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</si>
  <si>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</si>
  <si>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</si>
  <si>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</si>
  <si>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</si>
  <si>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</si>
  <si>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</si>
  <si>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</si>
  <si>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</si>
  <si>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20, 2022</t>
  </si>
  <si>
    <t>Jun 17, 2022</t>
  </si>
  <si>
    <t>Jun 16, 2022</t>
  </si>
  <si>
    <t>Jun 15, 2022</t>
  </si>
  <si>
    <t>Jun 14, 2022</t>
  </si>
  <si>
    <t>Jun 10, 2022</t>
  </si>
  <si>
    <t>Jun 9, 2022</t>
  </si>
  <si>
    <t>Jun 8, 2022</t>
  </si>
  <si>
    <t>Jun 7, 2022</t>
  </si>
  <si>
    <t>Jun 6, 2022</t>
  </si>
  <si>
    <t>Jun 3, 2022</t>
  </si>
  <si>
    <t>Jun 2, 2022</t>
  </si>
  <si>
    <t>Jun 1, 2022</t>
  </si>
  <si>
    <t>May 31, 2022</t>
  </si>
  <si>
    <t>May 30,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</si>
  <si>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</si>
  <si>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</si>
  <si>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</si>
  <si>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</si>
  <si>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</si>
  <si>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</si>
  <si>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</si>
  <si>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</si>
  <si>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</si>
  <si>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</si>
  <si>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</si>
  <si>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</si>
  <si>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</si>
  <si>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</si>
  <si>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9, 2022</t>
  </si>
  <si>
    <t>May 6, 2022</t>
  </si>
  <si>
    <t>May 5, 2022</t>
  </si>
  <si>
    <t>May 4, 2022</t>
  </si>
  <si>
    <t>May 3, 2022</t>
  </si>
  <si>
    <t>May 2, 2022</t>
  </si>
  <si>
    <t>Apr 29, 2022</t>
  </si>
  <si>
    <t>Apr 28, 2022</t>
  </si>
  <si>
    <t>Apr 27, 2022</t>
  </si>
  <si>
    <t>Apr 26, 2022</t>
  </si>
  <si>
    <t>Apr 22, 2022</t>
  </si>
  <si>
    <t>Apr 21, 2022</t>
  </si>
  <si>
    <t>Apr 20, 2022</t>
  </si>
  <si>
    <t>Apr 19, 2022</t>
  </si>
  <si>
    <t>Apr 14, 2022</t>
  </si>
  <si>
    <t>Apr 13, 2022</t>
  </si>
  <si>
    <t>Apr 12, 2022</t>
  </si>
  <si>
    <t>Apr 11, 2022</t>
  </si>
  <si>
    <t>Apr 8, 2022</t>
  </si>
  <si>
    <t>Apr 7, 2022</t>
  </si>
  <si>
    <t>Apr 6, 2022</t>
  </si>
  <si>
    <t>Apr 5, 2022</t>
  </si>
  <si>
    <t>Apr 4, 2022</t>
  </si>
  <si>
    <t>Apr 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</si>
  <si>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</si>
  <si>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</si>
  <si>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</si>
  <si>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</si>
  <si>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</si>
  <si>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</si>
  <si>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</si>
  <si>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</si>
  <si>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</si>
  <si>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</si>
  <si>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</si>
  <si>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</si>
  <si>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</si>
  <si>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</si>
  <si>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</si>
  <si>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</si>
  <si>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9, 2022</t>
  </si>
  <si>
    <t>Mar 8, 2022</t>
  </si>
  <si>
    <t>Mar 7, 2022</t>
  </si>
  <si>
    <t>Mar 4, 2022</t>
  </si>
  <si>
    <t>Mar 3, 2022</t>
  </si>
  <si>
    <t>Mar 2, 2022</t>
  </si>
  <si>
    <t>Mar 1, 2022</t>
  </si>
  <si>
    <t>Feb 28, 2022</t>
  </si>
  <si>
    <t>Feb 25, 2022</t>
  </si>
  <si>
    <t>Feb 24, 2022</t>
  </si>
  <si>
    <t>Feb 23, 2022</t>
  </si>
  <si>
    <t>Feb 22, 2022</t>
  </si>
  <si>
    <t>Feb 21,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</si>
  <si>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</si>
  <si>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</si>
  <si>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</si>
  <si>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</si>
  <si>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</si>
  <si>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</si>
  <si>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</si>
  <si>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9, 2022</t>
  </si>
  <si>
    <t>Feb 8, 2022</t>
  </si>
  <si>
    <t>Feb 7, 2022</t>
  </si>
  <si>
    <t>Feb 4, 2022</t>
  </si>
  <si>
    <t>Feb 3, 2022</t>
  </si>
  <si>
    <t>Feb 2, 2022</t>
  </si>
  <si>
    <t>Feb 1, 2022</t>
  </si>
  <si>
    <t>Jan 31, 2022</t>
  </si>
  <si>
    <t>Jan 28, 2022</t>
  </si>
  <si>
    <t>Jan 27, 2022</t>
  </si>
  <si>
    <t>Jan 25, 2022</t>
  </si>
  <si>
    <t>Jan 24, 2022</t>
  </si>
  <si>
    <t>Jan 21, 2022</t>
  </si>
  <si>
    <t>Jan 20, 2022</t>
  </si>
  <si>
    <t>Jan 19, 2022</t>
  </si>
  <si>
    <t>Jan 18, 2022</t>
  </si>
  <si>
    <t>Jan 17, 2022</t>
  </si>
  <si>
    <t>Jan 14, 2022</t>
  </si>
  <si>
    <t>Jan 13, 2022</t>
  </si>
  <si>
    <t>Jan 12, 2022</t>
  </si>
  <si>
    <t>Jan 11, 2022</t>
  </si>
  <si>
    <t>Jan 10, 2022</t>
  </si>
  <si>
    <t>Jan 7, 2022</t>
  </si>
  <si>
    <t>Jan 6, 2022</t>
  </si>
  <si>
    <t>Jan 5, 2022</t>
  </si>
  <si>
    <t>Jan 4, 2022</t>
  </si>
  <si>
    <t>Dec 31, 2021</t>
  </si>
  <si>
    <t>Dec 30, 2021</t>
  </si>
  <si>
    <t>Dec 29, 2021</t>
  </si>
  <si>
    <t>Dec 24,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</si>
  <si>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</si>
  <si>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</si>
  <si>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</si>
  <si>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</si>
  <si>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</si>
  <si>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</si>
  <si>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</si>
  <si>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</si>
  <si>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</si>
  <si>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</si>
  <si>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9, 2021</t>
  </si>
  <si>
    <t>Dec 8, 2021</t>
  </si>
  <si>
    <t>Dec 7, 2021</t>
  </si>
  <si>
    <t>Dec 6, 2021</t>
  </si>
  <si>
    <t>Dec 3, 2021</t>
  </si>
  <si>
    <t>Dec 2, 2021</t>
  </si>
  <si>
    <t>Dec 1, 2021</t>
  </si>
  <si>
    <t>Nov 30, 2021</t>
  </si>
  <si>
    <t>Nov 29, 2021</t>
  </si>
  <si>
    <t>Nov 26, 2021</t>
  </si>
  <si>
    <t>Nov 25,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</si>
  <si>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</si>
  <si>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</si>
  <si>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</si>
  <si>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</si>
  <si>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</si>
  <si>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</si>
  <si>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</si>
  <si>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</si>
  <si>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</si>
  <si>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</si>
  <si>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</si>
  <si>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9, 2021</t>
  </si>
  <si>
    <t>Nov 8, 2021</t>
  </si>
  <si>
    <t>Nov 5, 2021</t>
  </si>
  <si>
    <t>Nov 4, 2021</t>
  </si>
  <si>
    <t>Nov 3, 2021</t>
  </si>
  <si>
    <t>Nov 2, 2021</t>
  </si>
  <si>
    <t>Nov 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</si>
  <si>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</si>
  <si>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</si>
  <si>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</si>
  <si>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</si>
  <si>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</si>
  <si>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</si>
  <si>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</si>
  <si>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</si>
  <si>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</si>
  <si>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</si>
  <si>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</si>
  <si>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</si>
  <si>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</si>
  <si>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</si>
  <si>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</si>
  <si>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8, 2021</t>
  </si>
  <si>
    <t>Oct 7, 2021</t>
  </si>
  <si>
    <t>Oct 6, 2021</t>
  </si>
  <si>
    <t>Oct 5, 2021</t>
  </si>
  <si>
    <t>Oct 4, 2021</t>
  </si>
  <si>
    <t>Oct 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</si>
  <si>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</si>
  <si>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</si>
  <si>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</si>
  <si>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</si>
  <si>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</si>
  <si>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</si>
  <si>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</si>
  <si>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</si>
  <si>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</si>
  <si>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</si>
  <si>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</si>
  <si>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</si>
  <si>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</si>
  <si>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</si>
  <si>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</si>
  <si>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9, 2021</t>
  </si>
  <si>
    <t>Sep 8, 2021</t>
  </si>
  <si>
    <t>Sep 7, 2021</t>
  </si>
  <si>
    <t>Sep 6, 2021</t>
  </si>
  <si>
    <t>Sep 3, 2021</t>
  </si>
  <si>
    <t>Sep 2, 2021</t>
  </si>
  <si>
    <t>Sep 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</si>
  <si>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</si>
  <si>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</si>
  <si>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</si>
  <si>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</si>
  <si>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</si>
  <si>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</si>
  <si>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</si>
  <si>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</si>
  <si>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</si>
  <si>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</si>
  <si>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</si>
  <si>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</si>
  <si>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</si>
  <si>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</si>
  <si>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</si>
  <si>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</si>
  <si>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9, 2021</t>
  </si>
  <si>
    <t>Aug 6, 2021</t>
  </si>
  <si>
    <t>Aug 5, 2021</t>
  </si>
  <si>
    <t>Aug 4, 2021</t>
  </si>
  <si>
    <t>Aug 3, 2021</t>
  </si>
  <si>
    <t>Aug 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</si>
  <si>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</si>
  <si>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</si>
  <si>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</si>
  <si>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</si>
  <si>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</si>
  <si>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</si>
  <si>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</si>
  <si>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</si>
  <si>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</si>
  <si>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</si>
  <si>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</si>
  <si>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</si>
  <si>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</si>
  <si>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</si>
  <si>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</si>
  <si>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9, 2021</t>
  </si>
  <si>
    <t>Jul 8, 2021</t>
  </si>
  <si>
    <t>Jul 7, 2021</t>
  </si>
  <si>
    <t>Jul 6, 2021</t>
  </si>
  <si>
    <t>Jul 5, 2021</t>
  </si>
  <si>
    <t>Jul 2, 2021</t>
  </si>
  <si>
    <t>Jul 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</si>
  <si>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</si>
  <si>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</si>
  <si>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</si>
  <si>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</si>
  <si>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</si>
  <si>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</si>
  <si>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</si>
  <si>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</si>
  <si>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</si>
  <si>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</si>
  <si>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</si>
  <si>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</si>
  <si>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11, 2021</t>
  </si>
  <si>
    <t>Jun 10, 2021</t>
  </si>
  <si>
    <t>Jun 9, 2021</t>
  </si>
  <si>
    <t>Jun 8, 2021</t>
  </si>
  <si>
    <t>Jun 7, 2021</t>
  </si>
  <si>
    <t>Jun 4, 2021</t>
  </si>
  <si>
    <t>Jun 3, 2021</t>
  </si>
  <si>
    <t>Jun 2, 2021</t>
  </si>
  <si>
    <t>Jun 1, 2021</t>
  </si>
  <si>
    <t>May 31,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</si>
  <si>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</si>
  <si>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</si>
  <si>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</si>
  <si>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</si>
  <si>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</si>
  <si>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</si>
  <si>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</si>
  <si>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</si>
  <si>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</si>
  <si>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</si>
  <si>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</si>
  <si>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</si>
  <si>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</si>
  <si>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</si>
  <si>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</si>
  <si>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7, 2021</t>
  </si>
  <si>
    <t>May 6, 2021</t>
  </si>
  <si>
    <t>May 5, 2021</t>
  </si>
  <si>
    <t>May 4, 2021</t>
  </si>
  <si>
    <t>May 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</si>
  <si>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</si>
  <si>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</si>
  <si>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</si>
  <si>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</si>
  <si>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</si>
  <si>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</si>
  <si>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</si>
  <si>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</si>
  <si>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</si>
  <si>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</si>
  <si>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</si>
  <si>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</si>
  <si>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</si>
  <si>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</si>
  <si>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</si>
  <si>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9, 2021</t>
  </si>
  <si>
    <t>Apr 8, 2021</t>
  </si>
  <si>
    <t>Apr 7, 2021</t>
  </si>
  <si>
    <t>Apr 6, 2021</t>
  </si>
  <si>
    <t>Apr 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</si>
  <si>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</si>
  <si>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</si>
  <si>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</si>
  <si>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</si>
  <si>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</si>
  <si>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</si>
  <si>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</si>
  <si>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</si>
  <si>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</si>
  <si>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</si>
  <si>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</si>
  <si>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</si>
  <si>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</si>
  <si>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</si>
  <si>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</si>
  <si>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</si>
  <si>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9, 2021</t>
  </si>
  <si>
    <t>Mar 8, 2021</t>
  </si>
  <si>
    <t>Mar 5, 2021</t>
  </si>
  <si>
    <t>Mar 4, 2021</t>
  </si>
  <si>
    <t>Mar 3, 2021</t>
  </si>
  <si>
    <t>Mar 2, 2021</t>
  </si>
  <si>
    <t>Mar 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</si>
  <si>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</si>
  <si>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</si>
  <si>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</si>
  <si>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</si>
  <si>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</si>
  <si>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</si>
  <si>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</si>
  <si>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</si>
  <si>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</si>
  <si>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15, 2021</t>
  </si>
  <si>
    <t>Feb 12, 2021</t>
  </si>
  <si>
    <t>Feb 11, 2021</t>
  </si>
  <si>
    <t>Feb 10, 2021</t>
  </si>
  <si>
    <t>Feb 9, 2021</t>
  </si>
  <si>
    <t>Feb 8, 2021</t>
  </si>
  <si>
    <t>Feb 5, 2021</t>
  </si>
  <si>
    <t>Feb 4, 2021</t>
  </si>
  <si>
    <t>Feb 3, 2021</t>
  </si>
  <si>
    <t>Feb 2, 2021</t>
  </si>
  <si>
    <t>Feb 1, 2021</t>
  </si>
  <si>
    <t>Jan 29, 2021</t>
  </si>
  <si>
    <t>Jan 28, 2021</t>
  </si>
  <si>
    <t>Jan 27, 2021</t>
  </si>
  <si>
    <t>Jan 25, 2021</t>
  </si>
  <si>
    <t>Jan 22, 2021</t>
  </si>
  <si>
    <t>Jan 21, 2021</t>
  </si>
  <si>
    <t>Jan 20, 2021</t>
  </si>
  <si>
    <t>Jan 19, 2021</t>
  </si>
  <si>
    <t>Jan 18, 2021</t>
  </si>
  <si>
    <t>Jan 15, 2021</t>
  </si>
  <si>
    <t>Jan 14, 2021</t>
  </si>
  <si>
    <t>Jan 13, 2021</t>
  </si>
  <si>
    <t>Jan 12, 2021</t>
  </si>
  <si>
    <t>Jan 11, 2021</t>
  </si>
  <si>
    <t>Jan 8, 2021</t>
  </si>
  <si>
    <t>Jan 7, 2021</t>
  </si>
  <si>
    <t>Jan 6, 2021</t>
  </si>
  <si>
    <t>Jan 5, 2021</t>
  </si>
  <si>
    <t>Jan 4, 2021</t>
  </si>
  <si>
    <t>Dec 31, 2020</t>
  </si>
  <si>
    <t>Dec 30, 2020</t>
  </si>
  <si>
    <t>Dec 29,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</si>
  <si>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</si>
  <si>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</si>
  <si>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</si>
  <si>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</si>
  <si>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</si>
  <si>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</si>
  <si>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</si>
  <si>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</si>
  <si>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</si>
  <si>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</si>
  <si>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</si>
  <si>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9, 2020</t>
  </si>
  <si>
    <t>Dec 8, 2020</t>
  </si>
  <si>
    <t>Dec 7, 2020</t>
  </si>
  <si>
    <t>Dec 4, 2020</t>
  </si>
  <si>
    <t>Dec 3, 2020</t>
  </si>
  <si>
    <t>Dec 2, 2020</t>
  </si>
  <si>
    <t>Dec 1, 2020</t>
  </si>
  <si>
    <t>Nov 30, 2020</t>
  </si>
  <si>
    <t>Nov 27, 2020</t>
  </si>
  <si>
    <t>Nov 26,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</si>
  <si>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</si>
  <si>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</si>
  <si>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</si>
  <si>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</si>
  <si>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</si>
  <si>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</si>
  <si>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</si>
  <si>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</si>
  <si>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</si>
  <si>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</si>
  <si>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</si>
  <si>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</si>
  <si>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9, 2020</t>
  </si>
  <si>
    <t>Nov 6, 2020</t>
  </si>
  <si>
    <t>Nov 5, 2020</t>
  </si>
  <si>
    <t>Nov 4, 2020</t>
  </si>
  <si>
    <t>Nov 3, 2020</t>
  </si>
  <si>
    <t>Nov 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</si>
  <si>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</si>
  <si>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</si>
  <si>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</si>
  <si>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</si>
  <si>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</si>
  <si>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</si>
  <si>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</si>
  <si>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</si>
  <si>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</si>
  <si>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</si>
  <si>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</si>
  <si>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</si>
  <si>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</si>
  <si>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</si>
  <si>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</si>
  <si>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9, 2020</t>
  </si>
  <si>
    <t>Oct 8, 2020</t>
  </si>
  <si>
    <t>Oct 7, 2020</t>
  </si>
  <si>
    <t>Oct 6, 2020</t>
  </si>
  <si>
    <t>Oct 5, 2020</t>
  </si>
  <si>
    <t>Oct 2, 2020</t>
  </si>
  <si>
    <t>Oct 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</si>
  <si>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</si>
  <si>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</si>
  <si>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</si>
  <si>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</si>
  <si>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</si>
  <si>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</si>
  <si>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</si>
  <si>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</si>
  <si>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</si>
  <si>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</si>
  <si>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</si>
  <si>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</si>
  <si>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</si>
  <si>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</si>
  <si>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</si>
  <si>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9, 2020</t>
  </si>
  <si>
    <t>Sep 8, 2020</t>
  </si>
  <si>
    <t>Sep 7, 2020</t>
  </si>
  <si>
    <t>Sep 4, 2020</t>
  </si>
  <si>
    <t>Sep 3, 2020</t>
  </si>
  <si>
    <t>Sep 2, 2020</t>
  </si>
  <si>
    <t>Sep 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</si>
  <si>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</si>
  <si>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</si>
  <si>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</si>
  <si>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</si>
  <si>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</si>
  <si>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</si>
  <si>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</si>
  <si>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</si>
  <si>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</si>
  <si>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</si>
  <si>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</si>
  <si>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</si>
  <si>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</si>
  <si>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</si>
  <si>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</si>
  <si>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</si>
  <si>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7, 2020</t>
  </si>
  <si>
    <t>Aug 6, 2020</t>
  </si>
  <si>
    <t>Aug 5, 2020</t>
  </si>
  <si>
    <t>Aug 4, 2020</t>
  </si>
  <si>
    <t>Aug 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</si>
  <si>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</si>
  <si>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</si>
  <si>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</si>
  <si>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</si>
  <si>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</si>
  <si>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</si>
  <si>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</si>
  <si>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</si>
  <si>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</si>
  <si>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</si>
  <si>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</si>
  <si>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</si>
  <si>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</si>
  <si>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</si>
  <si>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</si>
  <si>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</si>
  <si>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9, 2020</t>
  </si>
  <si>
    <t>Jul 8, 2020</t>
  </si>
  <si>
    <t>Jul 7, 2020</t>
  </si>
  <si>
    <t>Jul 6, 2020</t>
  </si>
  <si>
    <t>Jul 3, 2020</t>
  </si>
  <si>
    <t>Jul 2, 2020</t>
  </si>
  <si>
    <t>Jul 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</si>
  <si>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</si>
  <si>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</si>
  <si>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</si>
  <si>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</si>
  <si>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</si>
  <si>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</si>
  <si>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</si>
  <si>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</si>
  <si>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</si>
  <si>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</si>
  <si>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</si>
  <si>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</si>
  <si>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</si>
  <si>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</si>
  <si>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</si>
  <si>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9, 2020</t>
  </si>
  <si>
    <t>Jun 5, 2020</t>
  </si>
  <si>
    <t>Jun 4, 2020</t>
  </si>
  <si>
    <t>Jun 3, 2020</t>
  </si>
  <si>
    <t>Jun 2, 2020</t>
  </si>
  <si>
    <t>Jun 1, 2020</t>
  </si>
  <si>
    <t>May 29, 2020</t>
  </si>
  <si>
    <t>May 28, 2020</t>
  </si>
  <si>
    <t>May 27, 2020</t>
  </si>
  <si>
    <t>May 26, 2020</t>
  </si>
  <si>
    <t>May 25,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</si>
  <si>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</si>
  <si>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</si>
  <si>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</si>
  <si>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</si>
  <si>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</si>
  <si>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</si>
  <si>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</si>
  <si>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</si>
  <si>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</si>
  <si>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</si>
  <si>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8, 2020</t>
  </si>
  <si>
    <t>May 7, 2020</t>
  </si>
  <si>
    <t>May 6, 2020</t>
  </si>
  <si>
    <t>May 5, 2020</t>
  </si>
  <si>
    <t>May 4, 2020</t>
  </si>
  <si>
    <t>May 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</si>
  <si>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</si>
  <si>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</si>
  <si>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</si>
  <si>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</si>
  <si>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</si>
  <si>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</si>
  <si>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</si>
  <si>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</si>
  <si>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</si>
  <si>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</si>
  <si>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</si>
  <si>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</si>
  <si>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</si>
  <si>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9, 2020</t>
  </si>
  <si>
    <t>Apr 8, 2020</t>
  </si>
  <si>
    <t>Apr 7, 2020</t>
  </si>
  <si>
    <t>Apr 6, 2020</t>
  </si>
  <si>
    <t>Apr 3, 2020</t>
  </si>
  <si>
    <t>Apr 2, 2020</t>
  </si>
  <si>
    <t>Apr 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</si>
  <si>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</si>
  <si>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</si>
  <si>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</si>
  <si>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</si>
  <si>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</si>
  <si>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</si>
  <si>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</si>
  <si>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</si>
  <si>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</si>
  <si>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</si>
  <si>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</si>
  <si>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</si>
  <si>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</si>
  <si>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</si>
  <si>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</si>
  <si>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</si>
  <si>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9, 2020</t>
  </si>
  <si>
    <t>Mar 6, 2020</t>
  </si>
  <si>
    <t>Mar 5, 2020</t>
  </si>
  <si>
    <t>Mar 4, 2020</t>
  </si>
  <si>
    <t>Mar 3, 2020</t>
  </si>
  <si>
    <t>Mar 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</si>
  <si>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</si>
  <si>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</si>
  <si>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</si>
  <si>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</si>
  <si>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</si>
  <si>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</si>
  <si>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</si>
  <si>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</si>
  <si>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</si>
  <si>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17, 2020</t>
  </si>
  <si>
    <t>Feb 14, 2020</t>
  </si>
  <si>
    <t>Feb 13, 2020</t>
  </si>
  <si>
    <t>Feb 12, 2020</t>
  </si>
  <si>
    <t>Feb 11, 2020</t>
  </si>
  <si>
    <t>Feb 10, 2020</t>
  </si>
  <si>
    <t>Feb 7, 2020</t>
  </si>
  <si>
    <t>Feb 6, 2020</t>
  </si>
  <si>
    <t>Feb 5, 2020</t>
  </si>
  <si>
    <t>Feb 4, 2020</t>
  </si>
  <si>
    <t>Feb 3, 2020</t>
  </si>
  <si>
    <t>Jan 31, 2020</t>
  </si>
  <si>
    <t>Jan 30, 2020</t>
  </si>
  <si>
    <t>Jan 29, 2020</t>
  </si>
  <si>
    <t>Jan 28, 2020</t>
  </si>
  <si>
    <t>Jan 24, 2020</t>
  </si>
  <si>
    <t>Jan 23, 2020</t>
  </si>
  <si>
    <t>Jan 22, 2020</t>
  </si>
  <si>
    <t>Jan 21, 2020</t>
  </si>
  <si>
    <t>Jan 20, 2020</t>
  </si>
  <si>
    <t>Jan 17, 2020</t>
  </si>
  <si>
    <t>Jan 16, 2020</t>
  </si>
  <si>
    <t>Jan 15, 2020</t>
  </si>
  <si>
    <t>Jan 14, 2020</t>
  </si>
  <si>
    <t>Jan 13, 2020</t>
  </si>
  <si>
    <t>Jan 10, 2020</t>
  </si>
  <si>
    <t>Jan 9, 2020</t>
  </si>
  <si>
    <t>Jan 8, 2020</t>
  </si>
  <si>
    <t>Jan 7, 2020</t>
  </si>
  <si>
    <t>Jan 6, 2020</t>
  </si>
  <si>
    <t>Jan 3, 2020</t>
  </si>
  <si>
    <t>Jan 2, 2020</t>
  </si>
  <si>
    <t>Dec 31, 2019</t>
  </si>
  <si>
    <t>Dec 30, 2019</t>
  </si>
  <si>
    <t>Dec 27,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</si>
  <si>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</si>
  <si>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</si>
  <si>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</si>
  <si>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</si>
  <si>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</si>
  <si>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</si>
  <si>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</si>
  <si>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</si>
  <si>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</si>
  <si>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</si>
  <si>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</si>
  <si>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9, 2019</t>
  </si>
  <si>
    <t>Dec 6, 2019</t>
  </si>
  <si>
    <t>Dec 5, 2019</t>
  </si>
  <si>
    <t>Dec 4, 2019</t>
  </si>
  <si>
    <t>Dec 3, 2019</t>
  </si>
  <si>
    <t>Dec 2, 2019</t>
  </si>
  <si>
    <t>Nov 29, 2019</t>
  </si>
  <si>
    <t>Nov 28,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</si>
  <si>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</si>
  <si>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</si>
  <si>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</si>
  <si>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</si>
  <si>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</si>
  <si>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</si>
  <si>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</si>
  <si>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</si>
  <si>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</si>
  <si>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</si>
  <si>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</si>
  <si>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</si>
  <si>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</si>
  <si>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8, 2019</t>
  </si>
  <si>
    <t>Nov 7, 2019</t>
  </si>
  <si>
    <t>Nov 6, 2019</t>
  </si>
  <si>
    <t>Nov 5, 2019</t>
  </si>
  <si>
    <t>Nov 4, 2019</t>
  </si>
  <si>
    <t>Nov 1, 2019</t>
  </si>
  <si>
    <t>Oct 31, 2019</t>
  </si>
  <si>
    <t>Oct 30, 2019</t>
  </si>
  <si>
    <t>Oct 29, 2019</t>
  </si>
  <si>
    <t>Oct 28, 2019</t>
  </si>
  <si>
    <t>Daily Ret BRG</t>
  </si>
  <si>
    <t>Daily ret AORD</t>
  </si>
  <si>
    <t xml:space="preserve">^AORD Ret </t>
  </si>
  <si>
    <t>BRG Ret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</si>
  <si>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</si>
  <si>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</si>
  <si>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</si>
  <si>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</si>
  <si>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</si>
  <si>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</si>
  <si>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</si>
  <si>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</si>
  <si>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</si>
  <si>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</si>
  <si>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</si>
  <si>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</si>
  <si>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</si>
  <si>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</si>
  <si>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</si>
  <si>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</si>
  <si>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</si>
  <si>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</si>
  <si>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</si>
  <si>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</si>
  <si>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</si>
  <si>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</si>
  <si>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</si>
  <si>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</si>
  <si>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</si>
  <si>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</si>
  <si>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BRG Ret</t>
  </si>
  <si>
    <t>Residuals</t>
  </si>
  <si>
    <t>Dividend payout ratio</t>
  </si>
  <si>
    <t>Cost of equity</t>
  </si>
  <si>
    <t>Shares outstanding</t>
  </si>
  <si>
    <t>Terminal growth rate</t>
  </si>
  <si>
    <t>Dividend</t>
  </si>
  <si>
    <t>Number of Years</t>
  </si>
  <si>
    <t>PV of Dividend</t>
  </si>
  <si>
    <t>Value of Equity</t>
  </si>
  <si>
    <t>Share price ($)</t>
  </si>
  <si>
    <t>2029+</t>
  </si>
  <si>
    <t>Terminal Growth Rate</t>
  </si>
  <si>
    <t>Shares Outstanding</t>
  </si>
  <si>
    <t>EBIT* (1-t)</t>
  </si>
  <si>
    <t>Change in WC</t>
  </si>
  <si>
    <t>Capex</t>
  </si>
  <si>
    <t>Free Cash Flow</t>
  </si>
  <si>
    <t>PV of FCF</t>
  </si>
  <si>
    <t>Enterprise Value</t>
  </si>
  <si>
    <t>Share Price</t>
  </si>
  <si>
    <t>Book value of Debt</t>
  </si>
  <si>
    <t>2024F</t>
  </si>
  <si>
    <t>2025F</t>
  </si>
  <si>
    <t>2026F</t>
  </si>
  <si>
    <t>2027F</t>
  </si>
  <si>
    <t>Change in Receivables</t>
  </si>
  <si>
    <t>Inventory</t>
  </si>
  <si>
    <t>Change in Inventory</t>
  </si>
  <si>
    <t>Change in payables</t>
  </si>
  <si>
    <t>Change in other CL</t>
  </si>
  <si>
    <t>Operating WC</t>
  </si>
  <si>
    <t>2028F</t>
  </si>
  <si>
    <t>Other CL to Sales</t>
  </si>
  <si>
    <t>Sales</t>
  </si>
  <si>
    <t>Book Value of Equity</t>
  </si>
  <si>
    <t>Mkt Cap</t>
  </si>
  <si>
    <t>Breville Limited</t>
  </si>
  <si>
    <t xml:space="preserve">De'Longhi </t>
  </si>
  <si>
    <t>2023 Details (A$m)</t>
  </si>
  <si>
    <t>Multiples</t>
  </si>
  <si>
    <t>P/S</t>
  </si>
  <si>
    <t>P/E</t>
  </si>
  <si>
    <t>P/B</t>
  </si>
  <si>
    <t>Breville  Valuation ($m)</t>
  </si>
  <si>
    <t>Equity Value</t>
  </si>
  <si>
    <t>Excl P/E</t>
  </si>
  <si>
    <t>Valuation using all competitors</t>
  </si>
  <si>
    <t>BRG Shares Outstanding (million)</t>
  </si>
  <si>
    <t>Breville  Average Equity (2019-2024)</t>
  </si>
  <si>
    <t>Valuation using De'Longhi only</t>
  </si>
  <si>
    <t>Operating Assets</t>
  </si>
  <si>
    <t>Operating Liabilities</t>
  </si>
  <si>
    <t>Net Financial Obligations (NFO)</t>
  </si>
  <si>
    <t>Check: NFO+Equity</t>
  </si>
  <si>
    <t>Less: Income Tax</t>
  </si>
  <si>
    <t>Tax</t>
  </si>
  <si>
    <t xml:space="preserve">Inventory turnover </t>
  </si>
  <si>
    <t xml:space="preserve">Company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</si>
</sst>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#,##0;[Red]\(#,##0\)"/>
    <numFmt numFmtId="165" formatCode="0.0"/>
    <numFmt numFmtId="166" formatCode="0.00_);[Red]\(0.00\)"/>
    <numFmt numFmtId="167" formatCode="0.0000"/>
    <numFmt numFmtId="168" formatCode="0.000"/>
    <numFmt numFmtId="169" formatCode="0.0%"/>
    <numFmt numFmtId="170" formatCode="#,##0_ ;[Red]\-#,##0\ "/>
  </numFmts>
  <fonts count="3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Display"/>
      <family val="2"/>
      <scheme val="major"/>
    </font>
    <font>
      <b/>
      <sz val="11"/>
      <color rgb="FF000000"/>
      <name val="Aptos Display"/>
      <family val="2"/>
      <scheme val="major"/>
    </font>
    <font>
      <sz val="11"/>
      <color theme="1"/>
      <name val="Aptos Display"/>
      <family val="2"/>
      <scheme val="major"/>
    </font>
    <font>
      <sz val="11"/>
      <color rgb="FF000000"/>
      <name val="Aptos Display"/>
      <family val="2"/>
      <scheme val="major"/>
    </font>
    <font>
      <sz val="11"/>
      <color theme="1"/>
      <name val="Aptos Display"/>
      <scheme val="major"/>
    </font>
    <font>
      <b/>
      <sz val="11"/>
      <color theme="1"/>
      <name val="Aptos Display"/>
      <scheme val="major"/>
    </font>
    <font>
      <b/>
      <sz val="12"/>
      <color theme="1"/>
      <name val="Aptos Narrow"/>
      <scheme val="minor"/>
    </font>
    <font>
      <b/>
      <sz val="11"/>
      <color theme="1"/>
      <name val="Calibri"/>
      <family val="2"/>
    </font>
    <font>
      <b/>
      <sz val="11"/>
      <color rgb="FF000000"/>
      <name val="Aptos Narrow"/>
      <family val="2"/>
      <scheme val="minor"/>
    </font>
    <font>
      <sz val="11"/>
      <color theme="1"/>
      <name val="Calibri"/>
      <family val="2"/>
    </font>
    <font>
      <sz val="11"/>
      <name val="Aptos Display"/>
      <family val="2"/>
      <scheme val="major"/>
    </font>
    <font>
      <sz val="10"/>
      <name val="Geneva"/>
      <family val="2"/>
    </font>
    <font>
      <b/>
      <sz val="11"/>
      <name val="Calibri"/>
      <family val="2"/>
    </font>
    <font>
      <sz val="11"/>
      <color theme="1"/>
      <name val="Aptos Narrow"/>
      <scheme val="minor"/>
    </font>
    <font>
      <sz val="11"/>
      <color rgb="FF333333"/>
      <name val="Aptos Narrow"/>
      <scheme val="minor"/>
    </font>
    <font>
      <sz val="11"/>
      <color theme="1"/>
      <name val="Arial"/>
      <family val="2"/>
    </font>
    <font>
      <b/>
      <sz val="11"/>
      <color theme="1"/>
      <name val="Aptos Narrow"/>
      <scheme val="minor"/>
    </font>
    <font>
      <i/>
      <sz val="12"/>
      <color theme="1"/>
      <name val="Aptos Narrow"/>
      <family val="2"/>
      <scheme val="minor"/>
    </font>
    <font>
      <i/>
      <sz val="11"/>
      <color theme="1"/>
      <name val="Calibri"/>
      <family val="2"/>
    </font>
    <font>
      <sz val="11"/>
      <color theme="0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1" fillId="0" borderId="0"/>
    <xf numFmtId="0" fontId="25" fillId="0" borderId="0"/>
  </cellStyleXfs>
  <cellXfs count="214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right"/>
    </xf>
    <xf numFmtId="164" fontId="4" fillId="2" borderId="0" xfId="0" applyNumberFormat="1" applyFont="1" applyFill="1" applyAlignment="1">
      <alignment horizontal="right"/>
    </xf>
    <xf numFmtId="0" fontId="5" fillId="0" borderId="0" xfId="0" applyFont="1"/>
    <xf numFmtId="164" fontId="5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5" fillId="0" borderId="1" xfId="0" applyNumberFormat="1" applyFont="1" applyBorder="1" applyAlignment="1">
      <alignment horizontal="right"/>
    </xf>
    <xf numFmtId="0" fontId="4" fillId="0" borderId="0" xfId="0" applyFont="1"/>
    <xf numFmtId="164" fontId="4" fillId="0" borderId="0" xfId="0" applyNumberFormat="1" applyFont="1" applyAlignment="1">
      <alignment horizontal="right"/>
    </xf>
    <xf numFmtId="164" fontId="6" fillId="0" borderId="1" xfId="0" applyNumberFormat="1" applyFont="1" applyBorder="1" applyAlignment="1">
      <alignment horizontal="right"/>
    </xf>
    <xf numFmtId="0" fontId="4" fillId="3" borderId="0" xfId="0" applyFont="1" applyFill="1"/>
    <xf numFmtId="164" fontId="4" fillId="3" borderId="0" xfId="0" applyNumberFormat="1" applyFont="1" applyFill="1" applyAlignment="1">
      <alignment horizontal="right"/>
    </xf>
    <xf numFmtId="164" fontId="7" fillId="0" borderId="0" xfId="3" applyNumberFormat="1" applyFont="1" applyAlignment="1">
      <alignment horizontal="right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8" fillId="0" borderId="0" xfId="0" applyFont="1"/>
    <xf numFmtId="0" fontId="9" fillId="0" borderId="0" xfId="0" applyFont="1"/>
    <xf numFmtId="3" fontId="0" fillId="0" borderId="0" xfId="0" applyNumberFormat="1"/>
    <xf numFmtId="164" fontId="0" fillId="0" borderId="0" xfId="0" applyNumberFormat="1"/>
    <xf numFmtId="44" fontId="5" fillId="0" borderId="0" xfId="1" applyFont="1" applyAlignment="1">
      <alignment horizontal="right"/>
    </xf>
    <xf numFmtId="44" fontId="6" fillId="0" borderId="0" xfId="1" applyFont="1" applyAlignment="1">
      <alignment horizontal="right"/>
    </xf>
    <xf numFmtId="0" fontId="10" fillId="2" borderId="0" xfId="0" applyFont="1" applyFill="1"/>
    <xf numFmtId="0" fontId="11" fillId="2" borderId="0" xfId="0" applyFont="1" applyFill="1" applyAlignment="1">
      <alignment horizontal="right"/>
    </xf>
    <xf numFmtId="164" fontId="10" fillId="2" borderId="0" xfId="0" applyNumberFormat="1" applyFont="1" applyFill="1"/>
    <xf numFmtId="0" fontId="12" fillId="0" borderId="0" xfId="0" applyFont="1"/>
    <xf numFmtId="164" fontId="12" fillId="0" borderId="0" xfId="0" applyNumberFormat="1" applyFont="1"/>
    <xf numFmtId="164" fontId="13" fillId="0" borderId="0" xfId="0" applyNumberFormat="1" applyFont="1"/>
    <xf numFmtId="0" fontId="12" fillId="0" borderId="0" xfId="0" applyFont="1" applyAlignment="1">
      <alignment horizontal="right"/>
    </xf>
    <xf numFmtId="164" fontId="12" fillId="0" borderId="1" xfId="0" applyNumberFormat="1" applyFont="1" applyBorder="1"/>
    <xf numFmtId="0" fontId="10" fillId="0" borderId="0" xfId="0" applyFont="1"/>
    <xf numFmtId="164" fontId="10" fillId="0" borderId="0" xfId="0" applyNumberFormat="1" applyFont="1"/>
    <xf numFmtId="164" fontId="12" fillId="0" borderId="0" xfId="0" applyNumberFormat="1" applyFont="1" applyAlignment="1">
      <alignment horizontal="right"/>
    </xf>
    <xf numFmtId="164" fontId="13" fillId="0" borderId="1" xfId="0" applyNumberFormat="1" applyFont="1" applyBorder="1"/>
    <xf numFmtId="9" fontId="10" fillId="0" borderId="0" xfId="0" applyNumberFormat="1" applyFont="1" applyAlignment="1">
      <alignment horizontal="right"/>
    </xf>
    <xf numFmtId="164" fontId="10" fillId="0" borderId="2" xfId="0" applyNumberFormat="1" applyFont="1" applyBorder="1"/>
    <xf numFmtId="0" fontId="14" fillId="0" borderId="0" xfId="0" applyFont="1"/>
    <xf numFmtId="0" fontId="15" fillId="0" borderId="0" xfId="0" applyFont="1"/>
    <xf numFmtId="164" fontId="16" fillId="0" borderId="0" xfId="0" applyNumberFormat="1" applyFont="1"/>
    <xf numFmtId="164" fontId="14" fillId="0" borderId="0" xfId="0" applyNumberFormat="1" applyFont="1"/>
    <xf numFmtId="0" fontId="16" fillId="0" borderId="0" xfId="0" applyFont="1"/>
    <xf numFmtId="164" fontId="12" fillId="0" borderId="0" xfId="0" applyNumberFormat="1" applyFont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38" fontId="12" fillId="0" borderId="0" xfId="0" applyNumberFormat="1" applyFont="1"/>
    <xf numFmtId="38" fontId="13" fillId="0" borderId="0" xfId="0" applyNumberFormat="1" applyFont="1"/>
    <xf numFmtId="38" fontId="12" fillId="0" borderId="1" xfId="0" applyNumberFormat="1" applyFont="1" applyBorder="1"/>
    <xf numFmtId="38" fontId="10" fillId="0" borderId="0" xfId="0" applyNumberFormat="1" applyFont="1"/>
    <xf numFmtId="0" fontId="12" fillId="0" borderId="1" xfId="0" applyFont="1" applyBorder="1"/>
    <xf numFmtId="0" fontId="10" fillId="0" borderId="1" xfId="0" applyFont="1" applyBorder="1"/>
    <xf numFmtId="38" fontId="10" fillId="0" borderId="1" xfId="0" applyNumberFormat="1" applyFont="1" applyBorder="1"/>
    <xf numFmtId="38" fontId="11" fillId="0" borderId="1" xfId="0" applyNumberFormat="1" applyFont="1" applyBorder="1"/>
    <xf numFmtId="38" fontId="10" fillId="0" borderId="3" xfId="0" applyNumberFormat="1" applyFont="1" applyBorder="1"/>
    <xf numFmtId="38" fontId="13" fillId="0" borderId="4" xfId="0" applyNumberFormat="1" applyFont="1" applyBorder="1"/>
    <xf numFmtId="38" fontId="12" fillId="0" borderId="4" xfId="0" applyNumberFormat="1" applyFont="1" applyBorder="1"/>
    <xf numFmtId="0" fontId="17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9" fillId="0" borderId="0" xfId="0" applyFont="1"/>
    <xf numFmtId="10" fontId="19" fillId="0" borderId="0" xfId="0" applyNumberFormat="1" applyFont="1"/>
    <xf numFmtId="10" fontId="19" fillId="3" borderId="0" xfId="0" applyNumberFormat="1" applyFont="1" applyFill="1" applyAlignment="1">
      <alignment horizontal="right"/>
    </xf>
    <xf numFmtId="10" fontId="12" fillId="0" borderId="0" xfId="0" applyNumberFormat="1" applyFont="1" applyAlignment="1">
      <alignment horizontal="right"/>
    </xf>
    <xf numFmtId="2" fontId="19" fillId="0" borderId="0" xfId="0" applyNumberFormat="1" applyFont="1"/>
    <xf numFmtId="166" fontId="19" fillId="0" borderId="0" xfId="0" applyNumberFormat="1" applyFont="1"/>
    <xf numFmtId="166" fontId="19" fillId="3" borderId="0" xfId="0" applyNumberFormat="1" applyFont="1" applyFill="1" applyAlignment="1">
      <alignment horizontal="right"/>
    </xf>
    <xf numFmtId="0" fontId="5" fillId="3" borderId="0" xfId="0" applyFont="1" applyFill="1"/>
    <xf numFmtId="0" fontId="10" fillId="3" borderId="0" xfId="0" applyFont="1" applyFill="1" applyAlignment="1">
      <alignment horizontal="right"/>
    </xf>
    <xf numFmtId="0" fontId="17" fillId="4" borderId="0" xfId="0" applyFont="1" applyFill="1"/>
    <xf numFmtId="1" fontId="17" fillId="4" borderId="0" xfId="0" applyNumberFormat="1" applyFont="1" applyFill="1"/>
    <xf numFmtId="1" fontId="10" fillId="4" borderId="0" xfId="0" applyNumberFormat="1" applyFont="1" applyFill="1" applyAlignment="1">
      <alignment horizontal="right" wrapText="1"/>
    </xf>
    <xf numFmtId="40" fontId="19" fillId="0" borderId="0" xfId="0" applyNumberFormat="1" applyFont="1"/>
    <xf numFmtId="40" fontId="19" fillId="3" borderId="0" xfId="0" applyNumberFormat="1" applyFont="1" applyFill="1" applyAlignment="1">
      <alignment horizontal="right"/>
    </xf>
    <xf numFmtId="2" fontId="19" fillId="3" borderId="0" xfId="0" applyNumberFormat="1" applyFont="1" applyFill="1" applyAlignment="1">
      <alignment horizontal="right"/>
    </xf>
    <xf numFmtId="167" fontId="19" fillId="3" borderId="0" xfId="0" applyNumberFormat="1" applyFont="1" applyFill="1" applyAlignment="1">
      <alignment horizontal="right"/>
    </xf>
    <xf numFmtId="9" fontId="5" fillId="3" borderId="0" xfId="0" applyNumberFormat="1" applyFont="1" applyFill="1"/>
    <xf numFmtId="0" fontId="13" fillId="0" borderId="0" xfId="0" applyFont="1" applyAlignment="1">
      <alignment horizontal="right"/>
    </xf>
    <xf numFmtId="10" fontId="19" fillId="0" borderId="0" xfId="0" applyNumberFormat="1" applyFont="1" applyAlignment="1">
      <alignment horizontal="right"/>
    </xf>
    <xf numFmtId="10" fontId="20" fillId="0" borderId="0" xfId="0" applyNumberFormat="1" applyFont="1" applyAlignment="1">
      <alignment horizontal="right"/>
    </xf>
    <xf numFmtId="10" fontId="5" fillId="3" borderId="0" xfId="0" applyNumberFormat="1" applyFont="1" applyFill="1"/>
    <xf numFmtId="10" fontId="5" fillId="0" borderId="0" xfId="0" applyNumberFormat="1" applyFont="1"/>
    <xf numFmtId="0" fontId="19" fillId="0" borderId="0" xfId="0" applyFont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16" fillId="0" borderId="5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9" xfId="0" applyFont="1" applyBorder="1"/>
    <xf numFmtId="0" fontId="16" fillId="0" borderId="10" xfId="0" applyFont="1" applyBorder="1"/>
    <xf numFmtId="0" fontId="16" fillId="0" borderId="12" xfId="0" applyFont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8" fontId="0" fillId="0" borderId="11" xfId="0" applyNumberFormat="1" applyBorder="1"/>
    <xf numFmtId="168" fontId="0" fillId="0" borderId="12" xfId="0" applyNumberFormat="1" applyBorder="1"/>
    <xf numFmtId="0" fontId="23" fillId="0" borderId="0" xfId="0" applyFont="1"/>
    <xf numFmtId="164" fontId="23" fillId="0" borderId="0" xfId="0" applyNumberFormat="1" applyFont="1" applyAlignment="1">
      <alignment horizontal="right"/>
    </xf>
    <xf numFmtId="167" fontId="0" fillId="0" borderId="0" xfId="0" applyNumberFormat="1"/>
    <xf numFmtId="9" fontId="0" fillId="0" borderId="0" xfId="2" applyFont="1"/>
    <xf numFmtId="169" fontId="0" fillId="0" borderId="0" xfId="2" applyNumberFormat="1" applyFont="1"/>
    <xf numFmtId="2" fontId="0" fillId="0" borderId="0" xfId="2" applyNumberFormat="1" applyFont="1"/>
    <xf numFmtId="10" fontId="0" fillId="0" borderId="0" xfId="0" applyNumberFormat="1"/>
    <xf numFmtId="0" fontId="0" fillId="6" borderId="0" xfId="0" applyFill="1" applyAlignment="1">
      <alignment horizontal="center"/>
    </xf>
    <xf numFmtId="10" fontId="0" fillId="6" borderId="0" xfId="0" applyNumberFormat="1" applyFill="1"/>
    <xf numFmtId="1" fontId="0" fillId="0" borderId="9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0" fontId="0" fillId="0" borderId="13" xfId="0" applyBorder="1"/>
    <xf numFmtId="10" fontId="0" fillId="0" borderId="0" xfId="2" applyNumberFormat="1" applyFont="1" applyBorder="1"/>
    <xf numFmtId="10" fontId="0" fillId="0" borderId="9" xfId="2" applyNumberFormat="1" applyFont="1" applyBorder="1"/>
    <xf numFmtId="2" fontId="0" fillId="0" borderId="0" xfId="2" applyNumberFormat="1" applyFont="1" applyBorder="1"/>
    <xf numFmtId="2" fontId="0" fillId="0" borderId="9" xfId="2" applyNumberFormat="1" applyFont="1" applyBorder="1"/>
    <xf numFmtId="2" fontId="0" fillId="0" borderId="9" xfId="0" applyNumberFormat="1" applyBorder="1"/>
    <xf numFmtId="10" fontId="0" fillId="0" borderId="11" xfId="2" applyNumberFormat="1" applyFont="1" applyBorder="1"/>
    <xf numFmtId="10" fontId="0" fillId="0" borderId="12" xfId="2" applyNumberFormat="1" applyFont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16" fillId="7" borderId="5" xfId="0" applyFont="1" applyFill="1" applyBorder="1"/>
    <xf numFmtId="164" fontId="13" fillId="3" borderId="0" xfId="0" applyNumberFormat="1" applyFont="1" applyFill="1"/>
    <xf numFmtId="44" fontId="24" fillId="0" borderId="0" xfId="1" applyFont="1"/>
    <xf numFmtId="9" fontId="19" fillId="0" borderId="0" xfId="2" applyFont="1"/>
    <xf numFmtId="0" fontId="22" fillId="11" borderId="0" xfId="5" applyFont="1" applyFill="1"/>
    <xf numFmtId="0" fontId="19" fillId="0" borderId="0" xfId="5" applyFont="1"/>
    <xf numFmtId="3" fontId="19" fillId="0" borderId="0" xfId="5" applyNumberFormat="1" applyFont="1"/>
    <xf numFmtId="0" fontId="17" fillId="0" borderId="0" xfId="5" applyFont="1"/>
    <xf numFmtId="10" fontId="5" fillId="0" borderId="0" xfId="2" applyNumberFormat="1" applyFont="1"/>
    <xf numFmtId="2" fontId="19" fillId="12" borderId="0" xfId="0" applyNumberFormat="1" applyFont="1" applyFill="1" applyAlignment="1">
      <alignment horizontal="right"/>
    </xf>
    <xf numFmtId="2" fontId="5" fillId="3" borderId="0" xfId="0" applyNumberFormat="1" applyFont="1" applyFill="1"/>
    <xf numFmtId="40" fontId="5" fillId="3" borderId="0" xfId="0" applyNumberFormat="1" applyFont="1" applyFill="1"/>
    <xf numFmtId="1" fontId="23" fillId="0" borderId="0" xfId="0" applyNumberFormat="1" applyFont="1"/>
    <xf numFmtId="1" fontId="26" fillId="0" borderId="14" xfId="0" applyNumberFormat="1" applyFont="1" applyBorder="1"/>
    <xf numFmtId="1" fontId="26" fillId="0" borderId="0" xfId="0" applyNumberFormat="1" applyFont="1"/>
    <xf numFmtId="1" fontId="26" fillId="0" borderId="15" xfId="0" applyNumberFormat="1" applyFont="1" applyBorder="1"/>
    <xf numFmtId="165" fontId="23" fillId="0" borderId="0" xfId="0" applyNumberFormat="1" applyFont="1"/>
    <xf numFmtId="165" fontId="26" fillId="0" borderId="0" xfId="0" applyNumberFormat="1" applyFont="1"/>
    <xf numFmtId="3" fontId="12" fillId="0" borderId="0" xfId="0" applyNumberFormat="1" applyFont="1"/>
    <xf numFmtId="4" fontId="12" fillId="0" borderId="0" xfId="0" applyNumberFormat="1" applyFont="1"/>
    <xf numFmtId="10" fontId="12" fillId="0" borderId="0" xfId="0" applyNumberFormat="1" applyFont="1"/>
    <xf numFmtId="0" fontId="3" fillId="0" borderId="0" xfId="3" applyAlignment="1"/>
    <xf numFmtId="9" fontId="12" fillId="0" borderId="0" xfId="2" applyFont="1" applyAlignment="1">
      <alignment horizontal="right"/>
    </xf>
    <xf numFmtId="15" fontId="0" fillId="0" borderId="0" xfId="0" applyNumberFormat="1"/>
    <xf numFmtId="4" fontId="0" fillId="0" borderId="0" xfId="0" applyNumberFormat="1"/>
    <xf numFmtId="0" fontId="27" fillId="0" borderId="16" xfId="0" applyFont="1" applyBorder="1" applyAlignment="1">
      <alignment horizontal="center"/>
    </xf>
    <xf numFmtId="0" fontId="27" fillId="0" borderId="16" xfId="0" applyFont="1" applyBorder="1" applyAlignment="1">
      <alignment horizontal="centerContinuous"/>
    </xf>
    <xf numFmtId="2" fontId="0" fillId="0" borderId="11" xfId="0" applyNumberFormat="1" applyBorder="1"/>
    <xf numFmtId="2" fontId="0" fillId="13" borderId="11" xfId="0" applyNumberFormat="1" applyFill="1" applyBorder="1"/>
    <xf numFmtId="0" fontId="12" fillId="14" borderId="0" xfId="0" applyFont="1" applyFill="1"/>
    <xf numFmtId="10" fontId="12" fillId="14" borderId="0" xfId="0" applyNumberFormat="1" applyFont="1" applyFill="1"/>
    <xf numFmtId="3" fontId="19" fillId="0" borderId="0" xfId="0" applyNumberFormat="1" applyFont="1"/>
    <xf numFmtId="9" fontId="19" fillId="0" borderId="0" xfId="0" applyNumberFormat="1" applyFont="1"/>
    <xf numFmtId="1" fontId="19" fillId="0" borderId="0" xfId="0" applyNumberFormat="1" applyFont="1"/>
    <xf numFmtId="0" fontId="17" fillId="0" borderId="0" xfId="0" applyFont="1"/>
    <xf numFmtId="3" fontId="17" fillId="0" borderId="0" xfId="0" applyNumberFormat="1" applyFont="1"/>
    <xf numFmtId="169" fontId="19" fillId="0" borderId="0" xfId="0" applyNumberFormat="1" applyFont="1"/>
    <xf numFmtId="0" fontId="19" fillId="0" borderId="2" xfId="0" applyFont="1" applyBorder="1"/>
    <xf numFmtId="3" fontId="19" fillId="0" borderId="2" xfId="0" applyNumberFormat="1" applyFont="1" applyBorder="1"/>
    <xf numFmtId="10" fontId="19" fillId="0" borderId="2" xfId="0" applyNumberFormat="1" applyFont="1" applyBorder="1"/>
    <xf numFmtId="164" fontId="19" fillId="0" borderId="0" xfId="0" applyNumberFormat="1" applyFont="1" applyAlignment="1">
      <alignment horizontal="right"/>
    </xf>
    <xf numFmtId="164" fontId="17" fillId="0" borderId="1" xfId="0" applyNumberFormat="1" applyFont="1" applyBorder="1" applyAlignment="1">
      <alignment horizontal="right"/>
    </xf>
    <xf numFmtId="3" fontId="19" fillId="0" borderId="1" xfId="0" applyNumberFormat="1" applyFont="1" applyBorder="1"/>
    <xf numFmtId="164" fontId="17" fillId="0" borderId="0" xfId="0" applyNumberFormat="1" applyFont="1" applyAlignment="1">
      <alignment horizontal="right"/>
    </xf>
    <xf numFmtId="3" fontId="17" fillId="0" borderId="1" xfId="0" applyNumberFormat="1" applyFont="1" applyBorder="1"/>
    <xf numFmtId="170" fontId="19" fillId="0" borderId="0" xfId="0" applyNumberFormat="1" applyFont="1"/>
    <xf numFmtId="170" fontId="19" fillId="15" borderId="0" xfId="0" applyNumberFormat="1" applyFont="1" applyFill="1"/>
    <xf numFmtId="0" fontId="28" fillId="0" borderId="0" xfId="0" applyFont="1"/>
    <xf numFmtId="170" fontId="28" fillId="15" borderId="0" xfId="0" applyNumberFormat="1" applyFont="1" applyFill="1"/>
    <xf numFmtId="0" fontId="28" fillId="0" borderId="1" xfId="0" applyFont="1" applyBorder="1"/>
    <xf numFmtId="170" fontId="28" fillId="15" borderId="1" xfId="0" applyNumberFormat="1" applyFont="1" applyFill="1" applyBorder="1"/>
    <xf numFmtId="170" fontId="17" fillId="15" borderId="0" xfId="0" applyNumberFormat="1" applyFont="1" applyFill="1"/>
    <xf numFmtId="1" fontId="28" fillId="0" borderId="0" xfId="0" applyNumberFormat="1" applyFont="1"/>
    <xf numFmtId="1" fontId="28" fillId="0" borderId="1" xfId="0" applyNumberFormat="1" applyFont="1" applyBorder="1"/>
    <xf numFmtId="1" fontId="17" fillId="0" borderId="0" xfId="0" applyNumberFormat="1" applyFont="1"/>
    <xf numFmtId="0" fontId="29" fillId="16" borderId="0" xfId="0" applyFont="1" applyFill="1"/>
    <xf numFmtId="0" fontId="29" fillId="16" borderId="0" xfId="0" applyFont="1" applyFill="1" applyAlignment="1">
      <alignment horizontal="right"/>
    </xf>
    <xf numFmtId="2" fontId="0" fillId="0" borderId="0" xfId="0" applyNumberFormat="1" applyAlignment="1">
      <alignment horizontal="center"/>
    </xf>
    <xf numFmtId="0" fontId="4" fillId="17" borderId="0" xfId="0" applyFont="1" applyFill="1"/>
    <xf numFmtId="2" fontId="4" fillId="17" borderId="0" xfId="0" applyNumberFormat="1" applyFont="1" applyFill="1"/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3" fontId="4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3" fontId="5" fillId="6" borderId="0" xfId="0" applyNumberFormat="1" applyFont="1" applyFill="1"/>
    <xf numFmtId="3" fontId="4" fillId="6" borderId="0" xfId="0" applyNumberFormat="1" applyFont="1" applyFill="1" applyAlignment="1">
      <alignment horizontal="right"/>
    </xf>
    <xf numFmtId="0" fontId="17" fillId="2" borderId="5" xfId="0" applyFont="1" applyFill="1" applyBorder="1"/>
    <xf numFmtId="0" fontId="17" fillId="2" borderId="6" xfId="0" applyFont="1" applyFill="1" applyBorder="1" applyAlignment="1">
      <alignment horizontal="right"/>
    </xf>
    <xf numFmtId="0" fontId="17" fillId="2" borderId="7" xfId="0" applyFont="1" applyFill="1" applyBorder="1" applyAlignment="1">
      <alignment horizontal="right"/>
    </xf>
    <xf numFmtId="0" fontId="19" fillId="0" borderId="8" xfId="0" applyFont="1" applyBorder="1"/>
    <xf numFmtId="3" fontId="19" fillId="0" borderId="9" xfId="0" applyNumberFormat="1" applyFont="1" applyBorder="1"/>
    <xf numFmtId="168" fontId="19" fillId="0" borderId="9" xfId="0" applyNumberFormat="1" applyFont="1" applyBorder="1"/>
    <xf numFmtId="0" fontId="17" fillId="0" borderId="8" xfId="0" applyFont="1" applyBorder="1"/>
    <xf numFmtId="3" fontId="19" fillId="0" borderId="11" xfId="0" applyNumberFormat="1" applyFont="1" applyBorder="1"/>
    <xf numFmtId="0" fontId="17" fillId="14" borderId="10" xfId="0" applyFont="1" applyFill="1" applyBorder="1"/>
    <xf numFmtId="3" fontId="17" fillId="14" borderId="11" xfId="0" applyNumberFormat="1" applyFont="1" applyFill="1" applyBorder="1"/>
    <xf numFmtId="0" fontId="17" fillId="8" borderId="0" xfId="0" applyFont="1" applyFill="1"/>
    <xf numFmtId="3" fontId="17" fillId="8" borderId="0" xfId="0" applyNumberFormat="1" applyFont="1" applyFill="1"/>
    <xf numFmtId="164" fontId="2" fillId="0" borderId="0" xfId="0" applyNumberFormat="1" applyFont="1"/>
    <xf numFmtId="164" fontId="0" fillId="0" borderId="4" xfId="0" applyNumberFormat="1" applyBorder="1"/>
    <xf numFmtId="164" fontId="0" fillId="0" borderId="15" xfId="0" applyNumberFormat="1" applyBorder="1"/>
    <xf numFmtId="10" fontId="0" fillId="0" borderId="9" xfId="0" applyNumberFormat="1" applyBorder="1"/>
    <xf numFmtId="10" fontId="0" fillId="0" borderId="11" xfId="0" applyNumberFormat="1" applyBorder="1"/>
    <xf numFmtId="10" fontId="0" fillId="0" borderId="12" xfId="0" applyNumberFormat="1" applyBorder="1"/>
    <xf numFmtId="40" fontId="0" fillId="0" borderId="0" xfId="0" applyNumberFormat="1"/>
    <xf numFmtId="2" fontId="0" fillId="0" borderId="12" xfId="0" applyNumberFormat="1" applyBorder="1"/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</cellXfs>
  <cellStyles count="6">
    <cellStyle name="Currency" xfId="1" builtinId="4"/>
    <cellStyle name="Hyperlink" xfId="3" builtinId="8"/>
    <cellStyle name="Normal" xfId="0" builtinId="0"/>
    <cellStyle name="Normal 2" xfId="5" xr:uid="{C6C24B16-8794-004E-82D7-65145A7005AB}"/>
    <cellStyle name="Normal 3 3" xfId="4" xr:uid="{573E4E24-4EFA-B845-8D1E-759F115F8B7A}"/>
    <cellStyle name="Per 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'M-score'!$B$7</c:f>
              <c:strCache>
                <c:ptCount val="1"/>
                <c:pt idx="0">
                  <c:v>M-Score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'M-score'!$A$8:$A$12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'M-score'!$B$8:$B$12</c:f>
              <c:numCache>
                <c:formatCode>General</c:formatCode>
                <c:ptCount val="5"/>
                <c:pt idx="0">
                  <c:v>-2.7570000000000001</c:v>
                </c:pt>
                <c:pt idx="1">
                  <c:v>-2.72</c:v>
                </c:pt>
                <c:pt idx="2">
                  <c:v>-1.635</c:v>
                </c:pt>
                <c:pt idx="3">
                  <c:v>-1.849</c:v>
                </c:pt>
                <c:pt idx="4">
                  <c:v>-2.4769999999999999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B-B74E-ADBC-235A08CC5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1941056"/>
        <c:axId val="518779487"/>
      </c:barChart>
      <c:catAx>
        <c:axId val="138194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79487"/>
        <c:crosses val="autoZero"/>
        <c:auto val="1"/>
        <c:lblAlgn val="ctr"/>
        <c:lblOffset val="100"/>
        <c:noMultiLvlLbl val="0"/>
      </c:catAx>
      <c:valAx>
        <c:axId val="51877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941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Simple</a:t>
            </a:r>
            <a:r>
              <a:rPr lang="en-GB" baseline="0"/>
              <a:t> Dupont Comparison 2022-2023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'Financial Analysis '!$O$3</c:f>
              <c:strCache>
                <c:ptCount val="1"/>
                <c:pt idx="0">
                  <c:v>Breville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'Financial Analysis '!$P$2:$Q$2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'Financial Analysis '!$P$3:$Q$3</c:f>
              <c:numCache>
                <c:formatCode>0.00%</c:formatCode>
                <c:ptCount val="2"/>
                <c:pt idx="0">
                  <c:v>0.1886284438782336</c:v>
                </c:pt>
                <c:pt idx="1">
                  <c:v>0.15925137058947647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5-9A4C-BA88-5CBA6ADC3EB1}"/>
            </c:ext>
          </c:extLst>
        </c:ser>
        <c:ser>
          <c:idx val="2"/>
          <c:order val="1"/>
          <c:tx>
            <c:strRef>
              <c:f>'Financial Analysis '!$O$4</c:f>
              <c:strCache>
                <c:ptCount val="1"/>
                <c:pt idx="0">
                  <c:v>De'Longhi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'Financial Analysis '!$P$2:$Q$2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'Financial Analysis '!$P$4:$Q$4</c:f>
              <c:numCache>
                <c:formatCode>0.00%</c:formatCode>
                <c:ptCount val="2"/>
                <c:pt idx="0">
                  <c:v>0.10970879111526362</c:v>
                </c:pt>
                <c:pt idx="1">
                  <c:v>0.1441362143206712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5-9A4C-BA88-5CBA6ADC3EB1}"/>
            </c:ext>
          </c:extLst>
        </c:ser>
        <c:ser>
          <c:idx val="3"/>
          <c:order val="2"/>
          <c:tx>
            <c:strRef>
              <c:f>'Financial Analysis '!$O$5</c:f>
              <c:strCache>
                <c:ptCount val="1"/>
                <c:pt idx="0">
                  <c:v>Hamilton Beach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'Financial Analysis '!$P$2:$Q$2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'Financial Analysis '!$P$5:$Q$5</c:f>
              <c:numCache>
                <c:formatCode>0.00%</c:formatCode>
                <c:ptCount val="2"/>
                <c:pt idx="0">
                  <c:v>0.22281120754936798</c:v>
                </c:pt>
                <c:pt idx="1">
                  <c:v>0.18573789616955089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95-9A4C-BA88-5CBA6ADC3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383647"/>
        <c:axId val="374465055"/>
      </c:barChart>
      <c:catAx>
        <c:axId val="37438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65055"/>
        <c:crosses val="autoZero"/>
        <c:auto val="1"/>
        <c:lblAlgn val="ctr"/>
        <c:lblOffset val="100"/>
        <c:noMultiLvlLbl val="0"/>
      </c:catAx>
      <c:valAx>
        <c:axId val="3744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8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423241</xdr:colOff>
      <xdr:row>59</xdr:row>
      <xdr:rowOff>134582</xdr:rowOff>
    </xdr:from>
    <xdr:to>
      <xdr:col>15</xdr:col>
      <xdr:colOff>172938</xdr:colOff>
      <xdr:row>78</xdr:row>
      <xdr:rowOff>6152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B84495-FCA2-F258-B58A-50D4523AB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2041" y="12161482"/>
          <a:ext cx="8004697" cy="3732370"/>
        </a:xfrm>
        <a:prstGeom prst="rect">
          <a:avLst/>
        </a:prstGeom>
      </xdr:spPr>
    </xdr:pic>
    <xdr:clientData/>
  </xdr:twoCellAnchor>
  <xdr:twoCellAnchor editAs="oneCell">
    <xdr:from>
      <xdr:col>0</xdr:col>
      <xdr:colOff>795274</xdr:colOff>
      <xdr:row>78</xdr:row>
      <xdr:rowOff>81090</xdr:rowOff>
    </xdr:from>
    <xdr:to>
      <xdr:col>10</xdr:col>
      <xdr:colOff>98820</xdr:colOff>
      <xdr:row>96</xdr:row>
      <xdr:rowOff>1807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A425547-419E-3B79-DDE3-6132250B5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274" y="15643971"/>
          <a:ext cx="7741512" cy="3407837"/>
        </a:xfrm>
        <a:prstGeom prst="rect">
          <a:avLst/>
        </a:prstGeom>
      </xdr:spPr>
    </xdr:pic>
    <xdr:clientData/>
  </xdr:twoCellAnchor>
  <xdr:twoCellAnchor editAs="oneCell">
    <xdr:from>
      <xdr:col>10</xdr:col>
      <xdr:colOff>224380</xdr:colOff>
      <xdr:row>78</xdr:row>
      <xdr:rowOff>89212</xdr:rowOff>
    </xdr:from>
    <xdr:to>
      <xdr:col>19</xdr:col>
      <xdr:colOff>557146</xdr:colOff>
      <xdr:row>96</xdr:row>
      <xdr:rowOff>160648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512DF64-D606-C326-A0D6-EE55B2A7E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2346" y="15652093"/>
          <a:ext cx="7694461" cy="3558556"/>
        </a:xfrm>
        <a:prstGeom prst="rect">
          <a:avLst/>
        </a:prstGeom>
      </xdr:spPr>
    </xdr:pic>
    <xdr:clientData/>
  </xdr:twoCellAnchor>
  <xdr:twoCellAnchor editAs="oneCell">
    <xdr:from>
      <xdr:col>10</xdr:col>
      <xdr:colOff>129572</xdr:colOff>
      <xdr:row>97</xdr:row>
      <xdr:rowOff>183206</xdr:rowOff>
    </xdr:from>
    <xdr:to>
      <xdr:col>19</xdr:col>
      <xdr:colOff>489818</xdr:colOff>
      <xdr:row>115</xdr:row>
      <xdr:rowOff>105538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7C098C5-2B40-03D5-EB54-4B82103CF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538" y="19426935"/>
          <a:ext cx="7721941" cy="3409451"/>
        </a:xfrm>
        <a:prstGeom prst="rect">
          <a:avLst/>
        </a:prstGeom>
      </xdr:spPr>
    </xdr:pic>
    <xdr:clientData/>
  </xdr:twoCellAnchor>
  <xdr:twoCellAnchor editAs="oneCell">
    <xdr:from>
      <xdr:col>1</xdr:col>
      <xdr:colOff>22727</xdr:colOff>
      <xdr:row>98</xdr:row>
      <xdr:rowOff>65260</xdr:rowOff>
    </xdr:from>
    <xdr:to>
      <xdr:col>10</xdr:col>
      <xdr:colOff>149726</xdr:colOff>
      <xdr:row>116</xdr:row>
      <xdr:rowOff>2312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9ECAB95-5CE1-B047-1D73-E7AE55B08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0693" y="19502718"/>
          <a:ext cx="7746999" cy="3424169"/>
        </a:xfrm>
        <a:prstGeom prst="rect">
          <a:avLst/>
        </a:prstGeom>
      </xdr:spPr>
    </xdr:pic>
    <xdr:clientData/>
  </xdr:twoCellAnchor>
  <xdr:twoCellAnchor>
    <xdr:from>
      <xdr:col>2</xdr:col>
      <xdr:colOff>692170</xdr:colOff>
      <xdr:row>6</xdr:row>
      <xdr:rowOff>46848</xdr:rowOff>
    </xdr:from>
    <xdr:to>
      <xdr:col>8</xdr:col>
      <xdr:colOff>745873</xdr:colOff>
      <xdr:row>22</xdr:row>
      <xdr:rowOff>120953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6F26328-D7B5-D7E8-B465-699FE4E2B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435020</xdr:colOff>
      <xdr:row>3</xdr:row>
      <xdr:rowOff>197549</xdr:rowOff>
    </xdr:from>
    <xdr:to>
      <xdr:col>14</xdr:col>
      <xdr:colOff>35772</xdr:colOff>
      <xdr:row>17</xdr:row>
      <xdr:rowOff>67617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8405F1-E5E4-E5F6-DD29-E03E8B311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ravanth/Desktop/WOW%20Valuation%20Apr%202024.xlsx" TargetMode="External"/><Relationship Id="rId1" Type="http://schemas.openxmlformats.org/officeDocument/2006/relationships/externalLinkPath" Target="/Users/sravanth/Desktop/WOW%20Valuation%20Apr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rehensive Income"/>
      <sheetName val="Balance Sheet"/>
      <sheetName val="SCF"/>
      <sheetName val="Endeavour "/>
      <sheetName val="Adj Income without Endeavour"/>
      <sheetName val="Adj BS without Endeavour"/>
      <sheetName val="Adj SCF without Endeavour"/>
      <sheetName val="Estimating Lease A L and Int"/>
      <sheetName val="Adjusted Income"/>
      <sheetName val="Adjusted Balance Sheet"/>
      <sheetName val="Reformulated Income Statement"/>
      <sheetName val="Reformulated Balance Sheet "/>
      <sheetName val="Ratios"/>
      <sheetName val="DuPont Analysis"/>
      <sheetName val="Forecasting "/>
      <sheetName val="Change in WC and Capex"/>
      <sheetName val="Daily Price"/>
      <sheetName val="Mkt Model Output"/>
      <sheetName val="WACC"/>
      <sheetName val="DDM"/>
      <sheetName val="FCF Valuation"/>
      <sheetName val="ReOI Valuation"/>
      <sheetName val="Multip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B3">
            <v>51740</v>
          </cell>
        </row>
      </sheetData>
      <sheetData sheetId="9"/>
      <sheetData sheetId="10"/>
      <sheetData sheetId="11"/>
      <sheetData sheetId="12"/>
      <sheetData sheetId="13"/>
      <sheetData sheetId="14">
        <row r="14">
          <cell r="A14" t="str">
            <v>NPAT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australia" TargetMode="External"/><Relationship Id="rId1" Type="http://schemas.openxmlformats.org/officeDocument/2006/relationships/hyperlink" Target="http://pages.stern.nyu.edu/~adamodar/New_Home_Page/datafile/ctryprem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2D542-7806-2C48-8FA3-F6523DB47F59}">
  <dimension ref="A1:I26"/>
  <sheetViews>
    <sheetView topLeftCell="A9" zoomScale="189" workbookViewId="0">
      <selection activeCell="I23" sqref="I23"/>
    </sheetView>
  </sheetViews>
  <sheetFormatPr baseColWidth="10" defaultRowHeight="16" x14ac:dyDescent="0.2"/>
  <cols>
    <col min="1" max="1" width="26.83203125" bestFit="1" customWidth="1"/>
    <col min="9" max="9" width="33.83203125" customWidth="1"/>
  </cols>
  <sheetData>
    <row r="1" spans="1:9" x14ac:dyDescent="0.2">
      <c r="A1" s="1" t="s">
        <v>0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H1" s="2">
        <v>2024</v>
      </c>
      <c r="I1" s="2" t="s">
        <v>1</v>
      </c>
    </row>
    <row r="2" spans="1:9" x14ac:dyDescent="0.2">
      <c r="A2" s="1" t="s">
        <v>2</v>
      </c>
      <c r="B2" s="3"/>
      <c r="C2" s="3"/>
      <c r="D2" s="3"/>
      <c r="E2" s="3"/>
      <c r="F2" s="3"/>
      <c r="G2" s="3"/>
      <c r="H2" s="3"/>
      <c r="I2" s="3"/>
    </row>
    <row r="3" spans="1:9" x14ac:dyDescent="0.2">
      <c r="A3" s="4" t="s">
        <v>3</v>
      </c>
      <c r="B3" s="5">
        <v>646.76499999999999</v>
      </c>
      <c r="C3" s="6">
        <v>759.96699999999998</v>
      </c>
      <c r="D3" s="6">
        <v>952.24400000000003</v>
      </c>
      <c r="E3" s="6">
        <v>1187.6590000000001</v>
      </c>
      <c r="F3" s="6">
        <v>1418.4369999999999</v>
      </c>
      <c r="G3" s="6">
        <v>1478.5540000000001</v>
      </c>
      <c r="H3" s="6">
        <v>1529.9929999999999</v>
      </c>
      <c r="I3" s="6" t="s">
        <v>15</v>
      </c>
    </row>
    <row r="4" spans="1:9" x14ac:dyDescent="0.2">
      <c r="A4" s="4" t="s">
        <v>4</v>
      </c>
      <c r="B4" s="7">
        <v>-414.505</v>
      </c>
      <c r="C4" s="7">
        <v>-488.767</v>
      </c>
      <c r="D4" s="7">
        <f>-631.684</f>
        <v>-631.68399999999997</v>
      </c>
      <c r="E4" s="7">
        <f>-773.991</f>
        <v>-773.99099999999999</v>
      </c>
      <c r="F4" s="7">
        <f>-932.5</f>
        <v>-932.5</v>
      </c>
      <c r="G4" s="7">
        <f>-961.612</f>
        <v>-961.61199999999997</v>
      </c>
      <c r="H4" s="7">
        <v>-973.05499999999995</v>
      </c>
      <c r="I4" s="5"/>
    </row>
    <row r="5" spans="1:9" x14ac:dyDescent="0.2">
      <c r="A5" s="8" t="s">
        <v>5</v>
      </c>
      <c r="B5" s="9">
        <f t="shared" ref="B5:G5" si="0">SUM(B3:B4)</f>
        <v>232.26</v>
      </c>
      <c r="C5" s="9">
        <f t="shared" si="0"/>
        <v>271.2</v>
      </c>
      <c r="D5" s="9">
        <f t="shared" si="0"/>
        <v>320.56000000000006</v>
      </c>
      <c r="E5" s="9">
        <f t="shared" si="0"/>
        <v>413.66800000000012</v>
      </c>
      <c r="F5" s="9">
        <f t="shared" si="0"/>
        <v>485.9369999999999</v>
      </c>
      <c r="G5" s="9">
        <f t="shared" si="0"/>
        <v>516.94200000000012</v>
      </c>
      <c r="H5" s="9">
        <f t="shared" ref="H5" si="1">SUM(H3:H4)</f>
        <v>556.93799999999999</v>
      </c>
      <c r="I5" s="9"/>
    </row>
    <row r="6" spans="1:9" x14ac:dyDescent="0.2">
      <c r="A6" s="4" t="s">
        <v>6</v>
      </c>
      <c r="B6" s="5">
        <v>0.68899999999999995</v>
      </c>
      <c r="C6" s="5">
        <v>0.28699999999999998</v>
      </c>
      <c r="D6" s="6">
        <v>0.29399999999999998</v>
      </c>
      <c r="E6" s="6">
        <f>0.284</f>
        <v>0.28399999999999997</v>
      </c>
      <c r="F6" s="6">
        <f>0.405</f>
        <v>0.40500000000000003</v>
      </c>
      <c r="G6" s="6">
        <v>0.77800000000000002</v>
      </c>
      <c r="H6" s="6">
        <v>0.22800000000000001</v>
      </c>
      <c r="I6" s="6"/>
    </row>
    <row r="7" spans="1:9" x14ac:dyDescent="0.2">
      <c r="A7" s="4" t="s">
        <v>7</v>
      </c>
      <c r="B7" s="5">
        <f>-13.302</f>
        <v>-13.302</v>
      </c>
      <c r="C7" s="5">
        <v>-16.616</v>
      </c>
      <c r="D7" s="6">
        <f>-25.582</f>
        <v>-25.582000000000001</v>
      </c>
      <c r="E7" s="6">
        <f>-26.868</f>
        <v>-26.867999999999999</v>
      </c>
      <c r="F7" s="6">
        <f>-30.464</f>
        <v>-30.463999999999999</v>
      </c>
      <c r="G7" s="6">
        <f>-46.142</f>
        <v>-46.142000000000003</v>
      </c>
      <c r="H7" s="6">
        <v>-59.784999999999997</v>
      </c>
      <c r="I7" s="6"/>
    </row>
    <row r="8" spans="1:9" x14ac:dyDescent="0.2">
      <c r="A8" s="4" t="s">
        <v>8</v>
      </c>
      <c r="B8" s="7">
        <f>-SUM(68.417,14.108,26.177,24.036)</f>
        <v>-132.738</v>
      </c>
      <c r="C8" s="7">
        <f>-SUM(82.402,15.686,32.221,27.217)</f>
        <v>-157.52600000000001</v>
      </c>
      <c r="D8" s="7">
        <f>-SUM(89.213,12.646,35.053,57.421,18.983)</f>
        <v>-213.31599999999997</v>
      </c>
      <c r="E8" s="7">
        <f>-SUM(117.833,12.344,66.428,1.517,52.532)</f>
        <v>-250.654</v>
      </c>
      <c r="F8" s="7">
        <f>-SUM(158.53,17.36,68.31,55.317)</f>
        <v>-299.517</v>
      </c>
      <c r="G8" s="7">
        <f>-SUM(183.066,13.67,52.721,50.1)</f>
        <v>-299.55700000000002</v>
      </c>
      <c r="H8" s="7">
        <f>-SUM(196.526,13.486,54.905,46.751)</f>
        <v>-311.66800000000001</v>
      </c>
      <c r="I8" s="5" t="s">
        <v>16</v>
      </c>
    </row>
    <row r="9" spans="1:9" x14ac:dyDescent="0.2">
      <c r="A9" s="8" t="s">
        <v>9</v>
      </c>
      <c r="B9" s="9">
        <f t="shared" ref="B9:G9" si="2">SUM(B5:B8)</f>
        <v>86.908999999999992</v>
      </c>
      <c r="C9" s="9">
        <f t="shared" si="2"/>
        <v>97.34499999999997</v>
      </c>
      <c r="D9" s="9">
        <f t="shared" si="2"/>
        <v>81.956000000000074</v>
      </c>
      <c r="E9" s="9">
        <f t="shared" si="2"/>
        <v>136.43000000000012</v>
      </c>
      <c r="F9" s="9">
        <f t="shared" si="2"/>
        <v>156.36099999999988</v>
      </c>
      <c r="G9" s="9">
        <f t="shared" si="2"/>
        <v>172.02100000000013</v>
      </c>
      <c r="H9" s="9">
        <f t="shared" ref="H9" si="3">SUM(H5:H8)</f>
        <v>185.71299999999997</v>
      </c>
      <c r="I9" s="9"/>
    </row>
    <row r="10" spans="1:9" x14ac:dyDescent="0.2">
      <c r="A10" s="4" t="s">
        <v>10</v>
      </c>
      <c r="B10" s="7">
        <f>SUM(-3.58,1.044)</f>
        <v>-2.536</v>
      </c>
      <c r="C10" s="7">
        <f>SUM(-3.483,0.449)</f>
        <v>-3.0340000000000003</v>
      </c>
      <c r="D10" s="10">
        <f>SUM(-8.368,0.192)</f>
        <v>-8.1760000000000002</v>
      </c>
      <c r="E10" s="10">
        <f>SUM(-9.157,0.13)</f>
        <v>-9.0269999999999992</v>
      </c>
      <c r="F10" s="10">
        <f>SUM(-8.844,0.317)</f>
        <v>-8.5269999999999992</v>
      </c>
      <c r="G10" s="10">
        <f>SUM(-21.699,0.669)</f>
        <v>-21.03</v>
      </c>
      <c r="H10" s="10">
        <f>SUM(-22.457,2.431)</f>
        <v>-20.026</v>
      </c>
      <c r="I10" s="6"/>
    </row>
    <row r="11" spans="1:9" x14ac:dyDescent="0.2">
      <c r="A11" s="8" t="s">
        <v>11</v>
      </c>
      <c r="B11" s="9">
        <f t="shared" ref="B11:H11" si="4">SUM(B9:B10)</f>
        <v>84.37299999999999</v>
      </c>
      <c r="C11" s="9">
        <f t="shared" si="4"/>
        <v>94.310999999999964</v>
      </c>
      <c r="D11" s="9">
        <f t="shared" si="4"/>
        <v>73.780000000000072</v>
      </c>
      <c r="E11" s="9">
        <f t="shared" si="4"/>
        <v>127.40300000000012</v>
      </c>
      <c r="F11" s="9">
        <f t="shared" si="4"/>
        <v>147.83399999999989</v>
      </c>
      <c r="G11" s="9">
        <f t="shared" si="4"/>
        <v>150.99100000000013</v>
      </c>
      <c r="H11" s="9">
        <f t="shared" si="4"/>
        <v>165.68699999999995</v>
      </c>
      <c r="I11" s="9"/>
    </row>
    <row r="12" spans="1:9" x14ac:dyDescent="0.2">
      <c r="A12" s="4" t="s">
        <v>12</v>
      </c>
      <c r="B12" s="7">
        <f>-25.854</f>
        <v>-25.853999999999999</v>
      </c>
      <c r="C12" s="7">
        <f>-26.926</f>
        <v>-26.925999999999998</v>
      </c>
      <c r="D12" s="10">
        <f>-26.562</f>
        <v>-26.562000000000001</v>
      </c>
      <c r="E12" s="10">
        <f>-36.435</f>
        <v>-36.435000000000002</v>
      </c>
      <c r="F12" s="10">
        <f>-42.117</f>
        <v>-42.116999999999997</v>
      </c>
      <c r="G12" s="10">
        <f>-40.783</f>
        <v>-40.783000000000001</v>
      </c>
      <c r="H12" s="10">
        <f>-47.18</f>
        <v>-47.18</v>
      </c>
      <c r="I12" s="6"/>
    </row>
    <row r="13" spans="1:9" x14ac:dyDescent="0.2">
      <c r="A13" s="11" t="s">
        <v>13</v>
      </c>
      <c r="B13" s="12">
        <f>SUM(B11,B12)</f>
        <v>58.518999999999991</v>
      </c>
      <c r="C13" s="12">
        <f t="shared" ref="C13:H13" si="5">SUM(C11,C12)</f>
        <v>67.384999999999962</v>
      </c>
      <c r="D13" s="12">
        <f t="shared" si="5"/>
        <v>47.218000000000075</v>
      </c>
      <c r="E13" s="12">
        <f t="shared" si="5"/>
        <v>90.968000000000117</v>
      </c>
      <c r="F13" s="12">
        <f t="shared" si="5"/>
        <v>105.7169999999999</v>
      </c>
      <c r="G13" s="12">
        <f t="shared" si="5"/>
        <v>110.20800000000013</v>
      </c>
      <c r="H13" s="12">
        <f t="shared" si="5"/>
        <v>118.50699999999995</v>
      </c>
      <c r="I13" s="12"/>
    </row>
    <row r="14" spans="1:9" x14ac:dyDescent="0.2">
      <c r="A14" s="103" t="s">
        <v>126</v>
      </c>
      <c r="B14" s="104">
        <v>0</v>
      </c>
      <c r="C14" s="104">
        <v>0</v>
      </c>
      <c r="D14" s="104">
        <v>19.09</v>
      </c>
      <c r="E14" s="104">
        <v>0</v>
      </c>
      <c r="F14" s="104">
        <v>0</v>
      </c>
      <c r="G14" s="104">
        <v>0</v>
      </c>
      <c r="H14" s="104">
        <v>0</v>
      </c>
      <c r="I14" s="9"/>
    </row>
    <row r="15" spans="1:9" x14ac:dyDescent="0.2">
      <c r="A15" s="11" t="s">
        <v>125</v>
      </c>
      <c r="B15" s="12">
        <f>SUM(B13:B14)</f>
        <v>58.518999999999991</v>
      </c>
      <c r="C15" s="12">
        <f t="shared" ref="C15:H15" si="6">SUM(C13:C14)</f>
        <v>67.384999999999962</v>
      </c>
      <c r="D15" s="12">
        <f t="shared" si="6"/>
        <v>66.308000000000078</v>
      </c>
      <c r="E15" s="12">
        <f t="shared" si="6"/>
        <v>90.968000000000117</v>
      </c>
      <c r="F15" s="12">
        <f t="shared" si="6"/>
        <v>105.7169999999999</v>
      </c>
      <c r="G15" s="12">
        <f t="shared" si="6"/>
        <v>110.20800000000013</v>
      </c>
      <c r="H15" s="12">
        <f t="shared" si="6"/>
        <v>118.50699999999995</v>
      </c>
      <c r="I15" s="12"/>
    </row>
    <row r="16" spans="1:9" x14ac:dyDescent="0.2">
      <c r="A16" s="4" t="s">
        <v>14</v>
      </c>
      <c r="B16" s="20">
        <v>45</v>
      </c>
      <c r="C16" s="21">
        <v>51.8</v>
      </c>
      <c r="D16" s="21">
        <v>50.5</v>
      </c>
      <c r="E16" s="21">
        <v>65.8</v>
      </c>
      <c r="F16" s="21">
        <v>75.900000000000006</v>
      </c>
      <c r="G16" s="21">
        <v>77.2</v>
      </c>
      <c r="H16" s="21">
        <v>82.7</v>
      </c>
      <c r="I16" s="13"/>
    </row>
    <row r="17" spans="1:8" x14ac:dyDescent="0.2">
      <c r="A17" s="11" t="s">
        <v>150</v>
      </c>
      <c r="B17" s="128">
        <v>33</v>
      </c>
      <c r="C17" s="128">
        <v>37</v>
      </c>
      <c r="D17" s="128">
        <v>41</v>
      </c>
      <c r="E17" s="128">
        <v>13</v>
      </c>
      <c r="F17" s="128">
        <v>15</v>
      </c>
      <c r="G17" s="128">
        <v>30.5</v>
      </c>
      <c r="H17" s="128">
        <v>33</v>
      </c>
    </row>
    <row r="20" spans="1:8" x14ac:dyDescent="0.2">
      <c r="A20" s="61" t="s">
        <v>9</v>
      </c>
      <c r="B20" s="19">
        <f>B9</f>
        <v>86.908999999999992</v>
      </c>
      <c r="C20" s="19">
        <f t="shared" ref="C20:H20" si="7">C9</f>
        <v>97.34499999999997</v>
      </c>
      <c r="D20" s="19">
        <f t="shared" si="7"/>
        <v>81.956000000000074</v>
      </c>
      <c r="E20" s="19">
        <f t="shared" si="7"/>
        <v>136.43000000000012</v>
      </c>
      <c r="F20" s="19">
        <f t="shared" si="7"/>
        <v>156.36099999999988</v>
      </c>
      <c r="G20" s="19">
        <f t="shared" si="7"/>
        <v>172.02100000000013</v>
      </c>
      <c r="H20" s="19">
        <f t="shared" si="7"/>
        <v>185.71299999999997</v>
      </c>
    </row>
    <row r="21" spans="1:8" x14ac:dyDescent="0.2">
      <c r="A21" s="61" t="s">
        <v>1535</v>
      </c>
      <c r="B21" s="205">
        <f>B12</f>
        <v>-25.853999999999999</v>
      </c>
      <c r="C21" s="205">
        <f t="shared" ref="C21:H21" si="8">C12</f>
        <v>-26.925999999999998</v>
      </c>
      <c r="D21" s="205">
        <f t="shared" si="8"/>
        <v>-26.562000000000001</v>
      </c>
      <c r="E21" s="205">
        <f t="shared" si="8"/>
        <v>-36.435000000000002</v>
      </c>
      <c r="F21" s="205">
        <f t="shared" si="8"/>
        <v>-42.116999999999997</v>
      </c>
      <c r="G21" s="205">
        <f t="shared" si="8"/>
        <v>-40.783000000000001</v>
      </c>
      <c r="H21" s="205">
        <f t="shared" si="8"/>
        <v>-47.18</v>
      </c>
    </row>
    <row r="22" spans="1:8" ht="17" thickBot="1" x14ac:dyDescent="0.25">
      <c r="A22" s="160" t="s">
        <v>158</v>
      </c>
      <c r="B22" s="206">
        <f>SUM(B20:B21)</f>
        <v>61.054999999999993</v>
      </c>
      <c r="C22" s="206">
        <f t="shared" ref="C22:H22" si="9">SUM(C20:C21)</f>
        <v>70.418999999999969</v>
      </c>
      <c r="D22" s="206">
        <f t="shared" si="9"/>
        <v>55.394000000000077</v>
      </c>
      <c r="E22" s="206">
        <f t="shared" si="9"/>
        <v>99.995000000000118</v>
      </c>
      <c r="F22" s="206">
        <f t="shared" si="9"/>
        <v>114.24399999999989</v>
      </c>
      <c r="G22" s="206">
        <f t="shared" si="9"/>
        <v>131.23800000000011</v>
      </c>
      <c r="H22" s="206">
        <f t="shared" si="9"/>
        <v>138.53299999999996</v>
      </c>
    </row>
    <row r="23" spans="1:8" ht="17" thickTop="1" x14ac:dyDescent="0.2">
      <c r="A23" s="61" t="s">
        <v>10</v>
      </c>
      <c r="B23" s="19">
        <f>B10</f>
        <v>-2.536</v>
      </c>
      <c r="C23" s="19">
        <f t="shared" ref="C23:H23" si="10">C10</f>
        <v>-3.0340000000000003</v>
      </c>
      <c r="D23" s="19">
        <f t="shared" si="10"/>
        <v>-8.1760000000000002</v>
      </c>
      <c r="E23" s="19">
        <f t="shared" si="10"/>
        <v>-9.0269999999999992</v>
      </c>
      <c r="F23" s="19">
        <f t="shared" si="10"/>
        <v>-8.5269999999999992</v>
      </c>
      <c r="G23" s="19">
        <f t="shared" si="10"/>
        <v>-21.03</v>
      </c>
      <c r="H23" s="19">
        <f t="shared" si="10"/>
        <v>-20.026</v>
      </c>
    </row>
    <row r="24" spans="1:8" x14ac:dyDescent="0.2">
      <c r="A24" s="61" t="s">
        <v>1536</v>
      </c>
      <c r="B24" s="44">
        <f>B12/B11*B23</f>
        <v>0.77709390444810555</v>
      </c>
      <c r="C24" s="44">
        <f t="shared" ref="C24:H24" si="11">C12/C11*C23</f>
        <v>0.86621373964860982</v>
      </c>
      <c r="D24" s="44">
        <f t="shared" si="11"/>
        <v>2.9434929791271318</v>
      </c>
      <c r="E24" s="44">
        <f t="shared" si="11"/>
        <v>2.5815620118835483</v>
      </c>
      <c r="F24" s="44">
        <f t="shared" si="11"/>
        <v>2.4292900077113533</v>
      </c>
      <c r="G24" s="44">
        <f t="shared" si="11"/>
        <v>5.680249087693964</v>
      </c>
      <c r="H24" s="44">
        <f t="shared" si="11"/>
        <v>5.7024792530494262</v>
      </c>
    </row>
    <row r="25" spans="1:8" ht="17" thickBot="1" x14ac:dyDescent="0.25">
      <c r="A25" s="160" t="s">
        <v>160</v>
      </c>
      <c r="B25" s="206">
        <f>SUM(B23:B24)</f>
        <v>-1.7589060955518945</v>
      </c>
      <c r="C25" s="206">
        <f t="shared" ref="C25:H25" si="12">SUM(C23:C24)</f>
        <v>-2.1677862603513907</v>
      </c>
      <c r="D25" s="206">
        <f t="shared" si="12"/>
        <v>-5.2325070208728679</v>
      </c>
      <c r="E25" s="206">
        <f t="shared" si="12"/>
        <v>-6.445437988116451</v>
      </c>
      <c r="F25" s="206">
        <f t="shared" si="12"/>
        <v>-6.097709992288646</v>
      </c>
      <c r="G25" s="206">
        <f t="shared" si="12"/>
        <v>-15.349750912306037</v>
      </c>
      <c r="H25" s="206">
        <f t="shared" si="12"/>
        <v>-14.323520746950575</v>
      </c>
    </row>
    <row r="26" spans="1:8" ht="17" thickTop="1" x14ac:dyDescent="0.2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B176-3769-C549-91A0-BBF645D7E65A}">
  <dimension ref="A1:D1000"/>
  <sheetViews>
    <sheetView zoomScale="255" workbookViewId="0">
      <selection activeCell="D6" sqref="D6"/>
    </sheetView>
  </sheetViews>
  <sheetFormatPr baseColWidth="10" defaultColWidth="12.6640625" defaultRowHeight="15" customHeight="1" x14ac:dyDescent="0.2"/>
  <cols>
    <col min="1" max="1" width="31.1640625" bestFit="1" customWidth="1"/>
    <col min="2" max="2" width="16.1640625" customWidth="1"/>
    <col min="3" max="3" width="11.5" customWidth="1"/>
    <col min="4" max="26" width="10" customWidth="1"/>
  </cols>
  <sheetData>
    <row r="1" spans="1:4" ht="16" x14ac:dyDescent="0.2">
      <c r="A1" s="25" t="s">
        <v>169</v>
      </c>
      <c r="B1" s="144">
        <v>4638</v>
      </c>
      <c r="C1" s="25"/>
    </row>
    <row r="2" spans="1:4" ht="16" x14ac:dyDescent="0.2">
      <c r="A2" s="25" t="s">
        <v>170</v>
      </c>
      <c r="B2" s="144">
        <v>155.97999999999999</v>
      </c>
      <c r="C2" s="25" t="s">
        <v>181</v>
      </c>
    </row>
    <row r="3" spans="1:4" ht="16" x14ac:dyDescent="0.2">
      <c r="A3" s="25" t="s">
        <v>171</v>
      </c>
      <c r="B3" s="145">
        <f>'Market Model Output '!B18</f>
        <v>1.2622621908506397</v>
      </c>
      <c r="C3" s="25"/>
    </row>
    <row r="4" spans="1:4" ht="16" x14ac:dyDescent="0.2">
      <c r="A4" s="25" t="s">
        <v>172</v>
      </c>
      <c r="B4" s="146">
        <v>4.5999999999999999E-2</v>
      </c>
      <c r="C4" s="147" t="s">
        <v>173</v>
      </c>
    </row>
    <row r="5" spans="1:4" ht="16" x14ac:dyDescent="0.2">
      <c r="A5" s="25" t="s">
        <v>174</v>
      </c>
      <c r="B5" s="146">
        <v>4.48E-2</v>
      </c>
      <c r="C5" s="147" t="s">
        <v>175</v>
      </c>
    </row>
    <row r="6" spans="1:4" ht="16" x14ac:dyDescent="0.2">
      <c r="A6" s="25" t="s">
        <v>176</v>
      </c>
      <c r="B6" s="146">
        <f>B5+(B3*B4)</f>
        <v>0.10286406077912943</v>
      </c>
      <c r="C6" s="25"/>
    </row>
    <row r="7" spans="1:4" ht="16" x14ac:dyDescent="0.2">
      <c r="A7" s="25" t="s">
        <v>177</v>
      </c>
      <c r="B7" s="146">
        <f>B9/B2</f>
        <v>0.12838825490447495</v>
      </c>
      <c r="C7" s="148"/>
      <c r="D7" s="146"/>
    </row>
    <row r="8" spans="1:4" ht="16" x14ac:dyDescent="0.2">
      <c r="A8" s="25" t="s">
        <v>178</v>
      </c>
      <c r="B8" s="146">
        <v>0.3</v>
      </c>
      <c r="C8" s="25"/>
      <c r="D8" s="146"/>
    </row>
    <row r="9" spans="1:4" ht="15" customHeight="1" x14ac:dyDescent="0.2">
      <c r="A9" s="25" t="s">
        <v>180</v>
      </c>
      <c r="B9" s="144">
        <f>-'Comprehensive Income '!H10</f>
        <v>20.026</v>
      </c>
      <c r="C9" s="146"/>
      <c r="D9" s="146"/>
    </row>
    <row r="10" spans="1:4" ht="15" customHeight="1" x14ac:dyDescent="0.2">
      <c r="C10" s="25"/>
      <c r="D10" s="108"/>
    </row>
    <row r="11" spans="1:4" ht="15" customHeight="1" x14ac:dyDescent="0.2">
      <c r="A11" s="155" t="s">
        <v>179</v>
      </c>
      <c r="B11" s="156">
        <f>(B6*B1/(B1+B2))+(B7*(1-B8)*(B2/(B1+B2)))</f>
        <v>0.10244133556952728</v>
      </c>
      <c r="C11" s="146"/>
    </row>
    <row r="12" spans="1:4" ht="15" customHeight="1" x14ac:dyDescent="0.2">
      <c r="C12" s="144"/>
    </row>
    <row r="13" spans="1:4" ht="15" customHeight="1" x14ac:dyDescent="0.2">
      <c r="A13" s="25"/>
      <c r="B13" s="146"/>
      <c r="C13" s="25"/>
    </row>
    <row r="15" spans="1:4" ht="15" customHeight="1" x14ac:dyDescent="0.2">
      <c r="A15" s="25"/>
    </row>
    <row r="17" spans="1:3" ht="15" customHeight="1" x14ac:dyDescent="0.2">
      <c r="A17" s="25"/>
    </row>
    <row r="18" spans="1:3" ht="15" customHeight="1" x14ac:dyDescent="0.2">
      <c r="A18" s="25"/>
      <c r="B18" s="145"/>
    </row>
    <row r="20" spans="1:3" ht="15.75" customHeight="1" x14ac:dyDescent="0.2">
      <c r="A20" s="25"/>
    </row>
    <row r="21" spans="1:3" ht="15.75" customHeight="1" x14ac:dyDescent="0.2">
      <c r="A21" s="25"/>
      <c r="B21" s="144"/>
    </row>
    <row r="22" spans="1:3" ht="15.75" customHeight="1" x14ac:dyDescent="0.2">
      <c r="A22" s="25"/>
      <c r="B22" s="144"/>
    </row>
    <row r="23" spans="1:3" ht="15.75" customHeight="1" x14ac:dyDescent="0.2">
      <c r="A23" s="25"/>
      <c r="B23" s="144"/>
    </row>
    <row r="24" spans="1:3" ht="15.75" customHeight="1" x14ac:dyDescent="0.2">
      <c r="A24" s="25"/>
      <c r="B24" s="144"/>
      <c r="C24" s="18"/>
    </row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C4" r:id="rId1" xr:uid="{D9FEB747-5510-9746-989F-DB799D8A1AA3}"/>
    <hyperlink ref="C5" r:id="rId2" xr:uid="{33AC0901-91C0-F448-801C-2824E09818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6AE3-31B4-2545-A3CC-67E709B0DD80}">
  <dimension ref="A1:I1290"/>
  <sheetViews>
    <sheetView topLeftCell="A3" zoomScale="160" workbookViewId="0">
      <selection activeCell="E20" sqref="E20"/>
    </sheetView>
  </sheetViews>
  <sheetFormatPr baseColWidth="10" defaultRowHeight="16" x14ac:dyDescent="0.2"/>
  <cols>
    <col min="1" max="1" width="16.5" bestFit="1" customWidth="1"/>
    <col min="2" max="2" width="11.83203125" customWidth="1"/>
    <col min="3" max="3" width="12.33203125" customWidth="1"/>
    <col min="4" max="5" width="11" bestFit="1" customWidth="1"/>
    <col min="6" max="6" width="12.5" bestFit="1" customWidth="1"/>
    <col min="7" max="9" width="11" bestFit="1" customWidth="1"/>
  </cols>
  <sheetData>
    <row r="1" spans="1:9" x14ac:dyDescent="0.2">
      <c r="A1" t="s">
        <v>1454</v>
      </c>
    </row>
    <row r="2" spans="1:9" ht="17" thickBot="1" x14ac:dyDescent="0.25"/>
    <row r="3" spans="1:9" x14ac:dyDescent="0.2">
      <c r="A3" s="152" t="s">
        <v>1455</v>
      </c>
      <c r="B3" s="152"/>
    </row>
    <row r="4" spans="1:9" x14ac:dyDescent="0.2">
      <c r="A4" t="s">
        <v>1456</v>
      </c>
      <c r="B4">
        <v>0.57931559163388757</v>
      </c>
    </row>
    <row r="5" spans="1:9" x14ac:dyDescent="0.2">
      <c r="A5" t="s">
        <v>1457</v>
      </c>
      <c r="B5">
        <v>0.33560655471012124</v>
      </c>
    </row>
    <row r="6" spans="1:9" x14ac:dyDescent="0.2">
      <c r="A6" t="s">
        <v>1458</v>
      </c>
      <c r="B6">
        <v>0.33508092698441722</v>
      </c>
    </row>
    <row r="7" spans="1:9" x14ac:dyDescent="0.2">
      <c r="A7" t="s">
        <v>1459</v>
      </c>
      <c r="B7">
        <v>1.968886413606492E-2</v>
      </c>
    </row>
    <row r="8" spans="1:9" ht="17" thickBot="1" x14ac:dyDescent="0.25">
      <c r="A8" s="99" t="s">
        <v>1460</v>
      </c>
      <c r="B8" s="99">
        <v>1266</v>
      </c>
    </row>
    <row r="10" spans="1:9" ht="17" thickBot="1" x14ac:dyDescent="0.25">
      <c r="A10" t="s">
        <v>1461</v>
      </c>
    </row>
    <row r="11" spans="1:9" x14ac:dyDescent="0.2">
      <c r="A11" s="151"/>
      <c r="B11" s="151" t="s">
        <v>1466</v>
      </c>
      <c r="C11" s="151" t="s">
        <v>1467</v>
      </c>
      <c r="D11" s="151" t="s">
        <v>1468</v>
      </c>
      <c r="E11" s="151" t="s">
        <v>1469</v>
      </c>
      <c r="F11" s="151" t="s">
        <v>1470</v>
      </c>
    </row>
    <row r="12" spans="1:9" x14ac:dyDescent="0.2">
      <c r="A12" t="s">
        <v>1462</v>
      </c>
      <c r="B12">
        <v>1</v>
      </c>
      <c r="C12">
        <v>0.24751042358946329</v>
      </c>
      <c r="D12">
        <v>0.24751042358946329</v>
      </c>
      <c r="E12">
        <v>638.4871617276558</v>
      </c>
      <c r="F12">
        <v>2.2919402042588599E-114</v>
      </c>
    </row>
    <row r="13" spans="1:9" x14ac:dyDescent="0.2">
      <c r="A13" t="s">
        <v>1463</v>
      </c>
      <c r="B13">
        <v>1264</v>
      </c>
      <c r="C13">
        <v>0.48999133290408725</v>
      </c>
      <c r="D13">
        <v>3.8765137096842344E-4</v>
      </c>
    </row>
    <row r="14" spans="1:9" ht="17" thickBot="1" x14ac:dyDescent="0.25">
      <c r="A14" s="99" t="s">
        <v>1464</v>
      </c>
      <c r="B14" s="99">
        <v>1265</v>
      </c>
      <c r="C14" s="99">
        <v>0.73750175649355054</v>
      </c>
      <c r="D14" s="99"/>
      <c r="E14" s="99"/>
      <c r="F14" s="99"/>
    </row>
    <row r="15" spans="1:9" ht="17" thickBot="1" x14ac:dyDescent="0.25"/>
    <row r="16" spans="1:9" x14ac:dyDescent="0.2">
      <c r="A16" s="151"/>
      <c r="B16" s="151" t="s">
        <v>1471</v>
      </c>
      <c r="C16" s="151" t="s">
        <v>1459</v>
      </c>
      <c r="D16" s="151" t="s">
        <v>1472</v>
      </c>
      <c r="E16" s="151" t="s">
        <v>1473</v>
      </c>
      <c r="F16" s="151" t="s">
        <v>1474</v>
      </c>
      <c r="G16" s="151" t="s">
        <v>1475</v>
      </c>
      <c r="H16" s="151" t="s">
        <v>1476</v>
      </c>
      <c r="I16" s="151" t="s">
        <v>1477</v>
      </c>
    </row>
    <row r="17" spans="1:9" x14ac:dyDescent="0.2">
      <c r="A17" t="s">
        <v>1465</v>
      </c>
      <c r="B17" s="44">
        <v>-2.2788038232025607E-4</v>
      </c>
      <c r="C17" s="44">
        <v>5.5338154591752075E-4</v>
      </c>
      <c r="D17" s="44">
        <v>-0.41179613595972842</v>
      </c>
      <c r="E17" s="44">
        <v>0.68055867244221213</v>
      </c>
      <c r="F17" s="44">
        <v>-1.3135278450827296E-3</v>
      </c>
      <c r="G17" s="44">
        <v>8.5776708044221751E-4</v>
      </c>
      <c r="H17" s="44">
        <v>-1.3135278450827296E-3</v>
      </c>
      <c r="I17" s="44">
        <v>8.5776708044221751E-4</v>
      </c>
    </row>
    <row r="18" spans="1:9" ht="17" thickBot="1" x14ac:dyDescent="0.25">
      <c r="A18" s="99" t="s">
        <v>1452</v>
      </c>
      <c r="B18" s="154">
        <v>1.2622621908506397</v>
      </c>
      <c r="C18" s="153">
        <v>4.9954370339529444E-2</v>
      </c>
      <c r="D18" s="153">
        <v>25.268303499199504</v>
      </c>
      <c r="E18" s="153">
        <v>2.2919402042571644E-114</v>
      </c>
      <c r="F18" s="153">
        <v>1.1642595815964991</v>
      </c>
      <c r="G18" s="153">
        <v>1.3602648001047803</v>
      </c>
      <c r="H18" s="153">
        <v>1.1642595815964991</v>
      </c>
      <c r="I18" s="153">
        <v>1.3602648001047803</v>
      </c>
    </row>
    <row r="22" spans="1:9" x14ac:dyDescent="0.2">
      <c r="A22" t="s">
        <v>1478</v>
      </c>
    </row>
    <row r="23" spans="1:9" ht="17" thickBot="1" x14ac:dyDescent="0.25"/>
    <row r="24" spans="1:9" x14ac:dyDescent="0.2">
      <c r="A24" s="151" t="s">
        <v>1479</v>
      </c>
      <c r="B24" s="151" t="s">
        <v>1480</v>
      </c>
      <c r="C24" s="151" t="s">
        <v>1481</v>
      </c>
    </row>
    <row r="25" spans="1:9" x14ac:dyDescent="0.2">
      <c r="A25">
        <v>1</v>
      </c>
      <c r="B25">
        <v>-1.8507080910643067E-3</v>
      </c>
      <c r="C25">
        <v>3.7163797328554223E-3</v>
      </c>
    </row>
    <row r="26" spans="1:9" x14ac:dyDescent="0.2">
      <c r="A26">
        <v>2</v>
      </c>
      <c r="B26">
        <v>-2.2254845013898669E-3</v>
      </c>
      <c r="C26">
        <v>-4.6025726059968144E-3</v>
      </c>
    </row>
    <row r="27" spans="1:9" x14ac:dyDescent="0.2">
      <c r="A27">
        <v>3</v>
      </c>
      <c r="B27">
        <v>3.1166911261023503E-3</v>
      </c>
      <c r="C27">
        <v>2.250830887389766E-2</v>
      </c>
    </row>
    <row r="28" spans="1:9" x14ac:dyDescent="0.2">
      <c r="A28">
        <v>4</v>
      </c>
      <c r="B28">
        <v>-1.3149719191003079E-3</v>
      </c>
      <c r="C28">
        <v>2.0815276611361143E-2</v>
      </c>
    </row>
    <row r="29" spans="1:9" x14ac:dyDescent="0.2">
      <c r="A29">
        <v>5</v>
      </c>
      <c r="B29">
        <v>1.9908100487194668E-2</v>
      </c>
      <c r="C29">
        <v>-1.6773772355509302E-3</v>
      </c>
    </row>
    <row r="30" spans="1:9" x14ac:dyDescent="0.2">
      <c r="A30">
        <v>6</v>
      </c>
      <c r="B30">
        <v>-7.9885607435432049E-3</v>
      </c>
      <c r="C30">
        <v>1.8555041518418445E-2</v>
      </c>
    </row>
    <row r="31" spans="1:9" x14ac:dyDescent="0.2">
      <c r="A31">
        <v>7</v>
      </c>
      <c r="B31">
        <v>1.0533055359214403E-2</v>
      </c>
      <c r="C31">
        <v>3.1178304961442631E-3</v>
      </c>
    </row>
    <row r="32" spans="1:9" x14ac:dyDescent="0.2">
      <c r="A32">
        <v>8</v>
      </c>
      <c r="B32">
        <v>-1.0107484965107813E-2</v>
      </c>
      <c r="C32">
        <v>8.6748202086609025E-3</v>
      </c>
    </row>
    <row r="33" spans="1:3" x14ac:dyDescent="0.2">
      <c r="A33">
        <v>9</v>
      </c>
      <c r="B33">
        <v>5.9679230928599402E-3</v>
      </c>
      <c r="C33">
        <v>2.9900082646020974E-2</v>
      </c>
    </row>
    <row r="34" spans="1:3" x14ac:dyDescent="0.2">
      <c r="A34">
        <v>10</v>
      </c>
      <c r="B34">
        <v>-1.0371661624357292E-2</v>
      </c>
      <c r="C34">
        <v>-9.0189200930943098E-3</v>
      </c>
    </row>
    <row r="35" spans="1:3" x14ac:dyDescent="0.2">
      <c r="A35">
        <v>11</v>
      </c>
      <c r="B35">
        <v>-5.8514178994460318E-3</v>
      </c>
      <c r="C35">
        <v>6.4163896508585491E-3</v>
      </c>
    </row>
    <row r="36" spans="1:3" x14ac:dyDescent="0.2">
      <c r="A36">
        <v>12</v>
      </c>
      <c r="B36">
        <v>8.4240022465442742E-4</v>
      </c>
      <c r="C36">
        <v>-2.2540320710690027E-3</v>
      </c>
    </row>
    <row r="37" spans="1:3" x14ac:dyDescent="0.2">
      <c r="A37">
        <v>13</v>
      </c>
      <c r="B37">
        <v>-6.4510422537410184E-3</v>
      </c>
      <c r="C37">
        <v>7.9653278243777426E-4</v>
      </c>
    </row>
    <row r="38" spans="1:3" x14ac:dyDescent="0.2">
      <c r="A38">
        <v>14</v>
      </c>
      <c r="B38">
        <v>-2.1831867275266636E-3</v>
      </c>
      <c r="C38">
        <v>-1.6582807017142192E-2</v>
      </c>
    </row>
    <row r="39" spans="1:3" x14ac:dyDescent="0.2">
      <c r="A39">
        <v>15</v>
      </c>
      <c r="B39">
        <v>5.0491729636094503E-3</v>
      </c>
      <c r="C39">
        <v>-7.3673416103784539E-3</v>
      </c>
    </row>
    <row r="40" spans="1:3" x14ac:dyDescent="0.2">
      <c r="A40">
        <v>16</v>
      </c>
      <c r="B40">
        <v>-9.5173202583763317E-3</v>
      </c>
      <c r="C40">
        <v>3.4179882804500801E-3</v>
      </c>
    </row>
    <row r="41" spans="1:3" x14ac:dyDescent="0.2">
      <c r="A41">
        <v>17</v>
      </c>
      <c r="B41">
        <v>8.4255578720913264E-3</v>
      </c>
      <c r="C41">
        <v>1.2906996189860867E-2</v>
      </c>
    </row>
    <row r="42" spans="1:3" x14ac:dyDescent="0.2">
      <c r="A42">
        <v>18</v>
      </c>
      <c r="B42">
        <v>-8.8326827745523542E-4</v>
      </c>
      <c r="C42">
        <v>-1.0847776071614969E-2</v>
      </c>
    </row>
    <row r="43" spans="1:3" x14ac:dyDescent="0.2">
      <c r="A43">
        <v>19</v>
      </c>
      <c r="B43">
        <v>1.5604696914949812E-3</v>
      </c>
      <c r="C43">
        <v>1.0599345016090478E-2</v>
      </c>
    </row>
    <row r="44" spans="1:3" x14ac:dyDescent="0.2">
      <c r="A44">
        <v>20</v>
      </c>
      <c r="B44">
        <v>8.1803552468502298E-3</v>
      </c>
      <c r="C44">
        <v>-3.1635732821220945E-2</v>
      </c>
    </row>
    <row r="45" spans="1:3" x14ac:dyDescent="0.2">
      <c r="A45">
        <v>21</v>
      </c>
      <c r="B45">
        <v>-9.3344285595431398E-3</v>
      </c>
      <c r="C45">
        <v>4.3897990363878224E-2</v>
      </c>
    </row>
    <row r="46" spans="1:3" x14ac:dyDescent="0.2">
      <c r="A46">
        <v>22</v>
      </c>
      <c r="B46">
        <v>-2.3125904936722942E-3</v>
      </c>
      <c r="C46">
        <v>1.2505115974985982E-2</v>
      </c>
    </row>
    <row r="47" spans="1:3" x14ac:dyDescent="0.2">
      <c r="A47">
        <v>23</v>
      </c>
      <c r="B47">
        <v>-1.36517586704232E-2</v>
      </c>
      <c r="C47">
        <v>-1.4094878100877305E-2</v>
      </c>
    </row>
    <row r="48" spans="1:3" x14ac:dyDescent="0.2">
      <c r="A48">
        <v>24</v>
      </c>
      <c r="B48">
        <v>1.626436566306756E-3</v>
      </c>
      <c r="C48">
        <v>1.0192531435999491E-2</v>
      </c>
    </row>
    <row r="49" spans="1:3" x14ac:dyDescent="0.2">
      <c r="A49">
        <v>25</v>
      </c>
      <c r="B49">
        <v>-3.6336308041152706E-4</v>
      </c>
      <c r="C49">
        <v>-2.0434357717309382E-2</v>
      </c>
    </row>
    <row r="50" spans="1:3" x14ac:dyDescent="0.2">
      <c r="A50">
        <v>26</v>
      </c>
      <c r="B50">
        <v>7.7514016141831555E-3</v>
      </c>
      <c r="C50">
        <v>4.1776062415050524E-3</v>
      </c>
    </row>
    <row r="51" spans="1:3" x14ac:dyDescent="0.2">
      <c r="A51">
        <v>27</v>
      </c>
      <c r="B51">
        <v>-3.2499370190224603E-3</v>
      </c>
      <c r="C51">
        <v>4.1125017113744196E-3</v>
      </c>
    </row>
    <row r="52" spans="1:3" x14ac:dyDescent="0.2">
      <c r="A52">
        <v>28</v>
      </c>
      <c r="B52">
        <v>-8.1310783694688391E-3</v>
      </c>
      <c r="C52">
        <v>-2.0309025049089102E-2</v>
      </c>
    </row>
    <row r="53" spans="1:3" x14ac:dyDescent="0.2">
      <c r="A53">
        <v>29</v>
      </c>
      <c r="B53">
        <v>-6.9570348666074446E-4</v>
      </c>
      <c r="C53">
        <v>1.582752570043392E-3</v>
      </c>
    </row>
    <row r="54" spans="1:3" x14ac:dyDescent="0.2">
      <c r="A54">
        <v>30</v>
      </c>
      <c r="B54">
        <v>-3.2623096551636656E-3</v>
      </c>
      <c r="C54">
        <v>1.4488306700953782E-2</v>
      </c>
    </row>
    <row r="55" spans="1:3" x14ac:dyDescent="0.2">
      <c r="A55">
        <v>31</v>
      </c>
      <c r="B55">
        <v>-2.8912958262031635E-3</v>
      </c>
      <c r="C55">
        <v>8.1498409620489043E-3</v>
      </c>
    </row>
    <row r="56" spans="1:3" x14ac:dyDescent="0.2">
      <c r="A56">
        <v>32</v>
      </c>
      <c r="B56">
        <v>-4.8380528580647128E-3</v>
      </c>
      <c r="C56">
        <v>1.6171967417785742E-2</v>
      </c>
    </row>
    <row r="57" spans="1:3" x14ac:dyDescent="0.2">
      <c r="A57">
        <v>33</v>
      </c>
      <c r="B57">
        <v>-1.5128878619924669E-2</v>
      </c>
      <c r="C57">
        <v>-1.2504317249029256E-3</v>
      </c>
    </row>
    <row r="58" spans="1:3" x14ac:dyDescent="0.2">
      <c r="A58">
        <v>34</v>
      </c>
      <c r="B58">
        <v>3.1298553362153533E-3</v>
      </c>
      <c r="C58">
        <v>-4.2984209219588286E-3</v>
      </c>
    </row>
    <row r="59" spans="1:3" x14ac:dyDescent="0.2">
      <c r="A59">
        <v>35</v>
      </c>
      <c r="B59">
        <v>-4.0836405125808765E-3</v>
      </c>
      <c r="C59">
        <v>-2.1069913158083046E-2</v>
      </c>
    </row>
    <row r="60" spans="1:3" x14ac:dyDescent="0.2">
      <c r="A60">
        <v>36</v>
      </c>
      <c r="B60">
        <v>3.3007032393644799E-3</v>
      </c>
      <c r="C60">
        <v>8.4004668776472384E-3</v>
      </c>
    </row>
    <row r="61" spans="1:3" x14ac:dyDescent="0.2">
      <c r="A61">
        <v>37</v>
      </c>
      <c r="B61">
        <v>-4.3919872835292504E-3</v>
      </c>
      <c r="C61">
        <v>5.5782269039325464E-3</v>
      </c>
    </row>
    <row r="62" spans="1:3" x14ac:dyDescent="0.2">
      <c r="A62">
        <v>38</v>
      </c>
      <c r="B62">
        <v>-4.9607662060698323E-3</v>
      </c>
      <c r="C62">
        <v>-1.1330702988242881E-2</v>
      </c>
    </row>
    <row r="63" spans="1:3" x14ac:dyDescent="0.2">
      <c r="A63">
        <v>39</v>
      </c>
      <c r="B63">
        <v>2.5413512902459922E-2</v>
      </c>
      <c r="C63">
        <v>-5.2388667115535192E-3</v>
      </c>
    </row>
    <row r="64" spans="1:3" x14ac:dyDescent="0.2">
      <c r="A64">
        <v>40</v>
      </c>
      <c r="B64">
        <v>1.0006060158303854E-3</v>
      </c>
      <c r="C64">
        <v>-7.7892718954054724E-3</v>
      </c>
    </row>
    <row r="65" spans="1:3" x14ac:dyDescent="0.2">
      <c r="A65">
        <v>41</v>
      </c>
      <c r="B65">
        <v>-2.3642774739551752E-3</v>
      </c>
      <c r="C65">
        <v>-4.7679662110374551E-3</v>
      </c>
    </row>
    <row r="66" spans="1:3" x14ac:dyDescent="0.2">
      <c r="A66">
        <v>42</v>
      </c>
      <c r="B66">
        <v>-8.2871012673070201E-3</v>
      </c>
      <c r="C66">
        <v>-9.3623066724529691E-5</v>
      </c>
    </row>
    <row r="67" spans="1:3" x14ac:dyDescent="0.2">
      <c r="A67">
        <v>43</v>
      </c>
      <c r="B67">
        <v>4.0032855364755884E-3</v>
      </c>
      <c r="C67">
        <v>-5.8143329255490039E-3</v>
      </c>
    </row>
    <row r="68" spans="1:3" x14ac:dyDescent="0.2">
      <c r="A68">
        <v>44</v>
      </c>
      <c r="B68">
        <v>6.5510789538469839E-4</v>
      </c>
      <c r="C68">
        <v>1.4616142092418599E-3</v>
      </c>
    </row>
    <row r="69" spans="1:3" x14ac:dyDescent="0.2">
      <c r="A69">
        <v>45</v>
      </c>
      <c r="B69">
        <v>1.9628339092091639E-3</v>
      </c>
      <c r="C69">
        <v>1.2822923483669592E-2</v>
      </c>
    </row>
    <row r="70" spans="1:3" x14ac:dyDescent="0.2">
      <c r="A70">
        <v>46</v>
      </c>
      <c r="B70">
        <v>-9.7045284854399647E-3</v>
      </c>
      <c r="C70">
        <v>-9.0287453771827671E-3</v>
      </c>
    </row>
    <row r="71" spans="1:3" x14ac:dyDescent="0.2">
      <c r="A71">
        <v>47</v>
      </c>
      <c r="B71">
        <v>1.1492831528115469E-3</v>
      </c>
      <c r="C71">
        <v>-4.9028071031599375E-2</v>
      </c>
    </row>
    <row r="72" spans="1:3" x14ac:dyDescent="0.2">
      <c r="A72">
        <v>48</v>
      </c>
      <c r="B72">
        <v>-3.9115992522177961E-3</v>
      </c>
      <c r="C72">
        <v>-1.3911443395777181E-2</v>
      </c>
    </row>
    <row r="73" spans="1:3" x14ac:dyDescent="0.2">
      <c r="A73">
        <v>49</v>
      </c>
      <c r="B73">
        <v>-4.2749682908041556E-3</v>
      </c>
      <c r="C73">
        <v>-4.0443113368301455E-2</v>
      </c>
    </row>
    <row r="74" spans="1:3" x14ac:dyDescent="0.2">
      <c r="A74">
        <v>50</v>
      </c>
      <c r="B74">
        <v>-2.1964163785785492E-3</v>
      </c>
      <c r="C74">
        <v>-1.374659583309034E-2</v>
      </c>
    </row>
    <row r="75" spans="1:3" x14ac:dyDescent="0.2">
      <c r="A75">
        <v>51</v>
      </c>
      <c r="B75">
        <v>-9.8263763511076668E-4</v>
      </c>
      <c r="C75">
        <v>1.6149821364859051E-2</v>
      </c>
    </row>
    <row r="76" spans="1:3" x14ac:dyDescent="0.2">
      <c r="A76">
        <v>52</v>
      </c>
      <c r="B76">
        <v>-1.6580463252593665E-2</v>
      </c>
      <c r="C76">
        <v>5.3750303154120587E-3</v>
      </c>
    </row>
    <row r="77" spans="1:3" x14ac:dyDescent="0.2">
      <c r="A77">
        <v>53</v>
      </c>
      <c r="B77">
        <v>-2.3514813862502344E-3</v>
      </c>
      <c r="C77">
        <v>-6.9204966357277724E-3</v>
      </c>
    </row>
    <row r="78" spans="1:3" x14ac:dyDescent="0.2">
      <c r="A78">
        <v>54</v>
      </c>
      <c r="B78">
        <v>-4.6073680460482821E-3</v>
      </c>
      <c r="C78">
        <v>-1.4110136286707443E-2</v>
      </c>
    </row>
    <row r="79" spans="1:3" x14ac:dyDescent="0.2">
      <c r="A79">
        <v>55</v>
      </c>
      <c r="B79">
        <v>-2.3781616504624978E-3</v>
      </c>
      <c r="C79">
        <v>8.7363389729633711E-3</v>
      </c>
    </row>
    <row r="80" spans="1:3" x14ac:dyDescent="0.2">
      <c r="A80">
        <v>56</v>
      </c>
      <c r="B80">
        <v>-6.1708972365463769E-3</v>
      </c>
      <c r="C80">
        <v>-1.6644125578476388E-2</v>
      </c>
    </row>
    <row r="81" spans="1:3" x14ac:dyDescent="0.2">
      <c r="A81">
        <v>57</v>
      </c>
      <c r="B81">
        <v>-1.6687980284285846E-2</v>
      </c>
      <c r="C81">
        <v>5.2418718083759724E-4</v>
      </c>
    </row>
    <row r="82" spans="1:3" x14ac:dyDescent="0.2">
      <c r="A82">
        <v>58</v>
      </c>
      <c r="B82">
        <v>4.0295436050794111E-3</v>
      </c>
      <c r="C82">
        <v>1.4225293926866556E-2</v>
      </c>
    </row>
    <row r="83" spans="1:3" x14ac:dyDescent="0.2">
      <c r="A83">
        <v>59</v>
      </c>
      <c r="B83">
        <v>-3.8967371375191939E-3</v>
      </c>
      <c r="C83">
        <v>7.4822516588529293E-3</v>
      </c>
    </row>
    <row r="84" spans="1:3" x14ac:dyDescent="0.2">
      <c r="A84">
        <v>60</v>
      </c>
      <c r="B84">
        <v>-5.1392819183103643E-3</v>
      </c>
      <c r="C84">
        <v>-8.079724869828166E-3</v>
      </c>
    </row>
    <row r="85" spans="1:3" x14ac:dyDescent="0.2">
      <c r="A85">
        <v>61</v>
      </c>
      <c r="B85">
        <v>4.9720403374015974E-2</v>
      </c>
      <c r="C85">
        <v>-4.463343272640162E-3</v>
      </c>
    </row>
    <row r="86" spans="1:3" x14ac:dyDescent="0.2">
      <c r="A86">
        <v>62</v>
      </c>
      <c r="B86">
        <v>2.6561048420859573E-2</v>
      </c>
      <c r="C86">
        <v>4.6131808829159224E-3</v>
      </c>
    </row>
    <row r="87" spans="1:3" x14ac:dyDescent="0.2">
      <c r="A87">
        <v>63</v>
      </c>
      <c r="B87">
        <v>-3.7678663918008903E-3</v>
      </c>
      <c r="C87">
        <v>-1.6050742946459098E-2</v>
      </c>
    </row>
    <row r="88" spans="1:3" x14ac:dyDescent="0.2">
      <c r="A88">
        <v>64</v>
      </c>
      <c r="B88">
        <v>-2.204333433216895E-2</v>
      </c>
      <c r="C88">
        <v>1.1762319938748775E-2</v>
      </c>
    </row>
    <row r="89" spans="1:3" x14ac:dyDescent="0.2">
      <c r="A89">
        <v>65</v>
      </c>
      <c r="B89">
        <v>7.135804584973501E-3</v>
      </c>
      <c r="C89">
        <v>-3.6221677161150781E-2</v>
      </c>
    </row>
    <row r="90" spans="1:3" x14ac:dyDescent="0.2">
      <c r="A90">
        <v>66</v>
      </c>
      <c r="B90">
        <v>-1.1109583303092833E-2</v>
      </c>
      <c r="C90">
        <v>-8.5052526455519865E-3</v>
      </c>
    </row>
    <row r="91" spans="1:3" x14ac:dyDescent="0.2">
      <c r="A91">
        <v>67</v>
      </c>
      <c r="B91">
        <v>-9.3774002733193629E-3</v>
      </c>
      <c r="C91">
        <v>5.0121765556039232E-3</v>
      </c>
    </row>
    <row r="92" spans="1:3" x14ac:dyDescent="0.2">
      <c r="A92">
        <v>68</v>
      </c>
      <c r="B92">
        <v>1.7113156597108589E-2</v>
      </c>
      <c r="C92">
        <v>-1.8209247207265737E-2</v>
      </c>
    </row>
    <row r="93" spans="1:3" x14ac:dyDescent="0.2">
      <c r="A93">
        <v>69</v>
      </c>
      <c r="B93">
        <v>2.4899644317940173E-4</v>
      </c>
      <c r="C93">
        <v>-6.4669920540059616E-3</v>
      </c>
    </row>
    <row r="94" spans="1:3" x14ac:dyDescent="0.2">
      <c r="A94">
        <v>70</v>
      </c>
      <c r="B94">
        <v>-6.7171068586862519E-3</v>
      </c>
      <c r="C94">
        <v>1.564364863838973E-3</v>
      </c>
    </row>
    <row r="95" spans="1:3" x14ac:dyDescent="0.2">
      <c r="A95">
        <v>71</v>
      </c>
      <c r="B95">
        <v>6.3876199321890453E-3</v>
      </c>
      <c r="C95">
        <v>-2.2665829329155427E-2</v>
      </c>
    </row>
    <row r="96" spans="1:3" x14ac:dyDescent="0.2">
      <c r="A96">
        <v>72</v>
      </c>
      <c r="B96">
        <v>9.5360002782819489E-3</v>
      </c>
      <c r="C96">
        <v>1.0020223866133229E-2</v>
      </c>
    </row>
    <row r="97" spans="1:3" x14ac:dyDescent="0.2">
      <c r="A97">
        <v>73</v>
      </c>
      <c r="B97">
        <v>4.47163434421386E-3</v>
      </c>
      <c r="C97">
        <v>7.7009956816069388E-3</v>
      </c>
    </row>
    <row r="98" spans="1:3" x14ac:dyDescent="0.2">
      <c r="A98">
        <v>74</v>
      </c>
      <c r="B98">
        <v>-9.3792242601078678E-3</v>
      </c>
      <c r="C98">
        <v>-1.5402116847763842E-2</v>
      </c>
    </row>
    <row r="99" spans="1:3" x14ac:dyDescent="0.2">
      <c r="A99">
        <v>75</v>
      </c>
      <c r="B99">
        <v>2.6968230550467789E-3</v>
      </c>
      <c r="C99">
        <v>1.6735164986806716E-2</v>
      </c>
    </row>
    <row r="100" spans="1:3" x14ac:dyDescent="0.2">
      <c r="A100">
        <v>76</v>
      </c>
      <c r="B100">
        <v>-8.8289359285162877E-3</v>
      </c>
      <c r="C100">
        <v>1.1309887144400101E-3</v>
      </c>
    </row>
    <row r="101" spans="1:3" x14ac:dyDescent="0.2">
      <c r="A101">
        <v>77</v>
      </c>
      <c r="B101">
        <v>-1.1410593397618927E-2</v>
      </c>
      <c r="C101">
        <v>1.2888243933267216E-2</v>
      </c>
    </row>
    <row r="102" spans="1:3" x14ac:dyDescent="0.2">
      <c r="A102">
        <v>78</v>
      </c>
      <c r="B102">
        <v>-1.1883017290978671E-2</v>
      </c>
      <c r="C102">
        <v>-5.4537588064023264E-3</v>
      </c>
    </row>
    <row r="103" spans="1:3" x14ac:dyDescent="0.2">
      <c r="A103">
        <v>79</v>
      </c>
      <c r="B103">
        <v>2.4193567552118975E-3</v>
      </c>
      <c r="C103">
        <v>6.2142768784217515E-3</v>
      </c>
    </row>
    <row r="104" spans="1:3" x14ac:dyDescent="0.2">
      <c r="A104">
        <v>80</v>
      </c>
      <c r="B104">
        <v>-1.0075626323422682E-2</v>
      </c>
      <c r="C104">
        <v>1.1564275374408879E-2</v>
      </c>
    </row>
    <row r="105" spans="1:3" x14ac:dyDescent="0.2">
      <c r="A105">
        <v>81</v>
      </c>
      <c r="B105">
        <v>8.8938316131682155E-3</v>
      </c>
      <c r="C105">
        <v>-1.2981531353041847E-2</v>
      </c>
    </row>
    <row r="106" spans="1:3" x14ac:dyDescent="0.2">
      <c r="A106">
        <v>82</v>
      </c>
      <c r="B106">
        <v>1.1954707455146074E-3</v>
      </c>
      <c r="C106">
        <v>8.1328874634406158E-3</v>
      </c>
    </row>
    <row r="107" spans="1:3" x14ac:dyDescent="0.2">
      <c r="A107">
        <v>83</v>
      </c>
      <c r="B107">
        <v>-1.4773455435319794E-2</v>
      </c>
      <c r="C107">
        <v>7.0100543262624614E-3</v>
      </c>
    </row>
    <row r="108" spans="1:3" x14ac:dyDescent="0.2">
      <c r="A108">
        <v>84</v>
      </c>
      <c r="B108">
        <v>-4.4005957050006102E-3</v>
      </c>
      <c r="C108">
        <v>1.4199697735550699E-3</v>
      </c>
    </row>
    <row r="109" spans="1:3" x14ac:dyDescent="0.2">
      <c r="A109">
        <v>85</v>
      </c>
      <c r="B109">
        <v>4.9418807169336497E-3</v>
      </c>
      <c r="C109">
        <v>-1.2789414349220676E-2</v>
      </c>
    </row>
    <row r="110" spans="1:3" x14ac:dyDescent="0.2">
      <c r="A110">
        <v>86</v>
      </c>
      <c r="B110">
        <v>3.1677175185704457E-3</v>
      </c>
      <c r="C110">
        <v>1.4158082858077419E-2</v>
      </c>
    </row>
    <row r="111" spans="1:3" x14ac:dyDescent="0.2">
      <c r="A111">
        <v>87</v>
      </c>
      <c r="B111">
        <v>-1.9605021222385268E-3</v>
      </c>
      <c r="C111">
        <v>1.0475866801986651E-2</v>
      </c>
    </row>
    <row r="112" spans="1:3" x14ac:dyDescent="0.2">
      <c r="A112">
        <v>88</v>
      </c>
      <c r="B112">
        <v>2.9424437587425183E-3</v>
      </c>
      <c r="C112">
        <v>-4.7779797352475537E-3</v>
      </c>
    </row>
    <row r="113" spans="1:3" x14ac:dyDescent="0.2">
      <c r="A113">
        <v>89</v>
      </c>
      <c r="B113">
        <v>8.2680697486715981E-3</v>
      </c>
      <c r="C113">
        <v>1.5269995716572867E-2</v>
      </c>
    </row>
    <row r="114" spans="1:3" x14ac:dyDescent="0.2">
      <c r="A114">
        <v>90</v>
      </c>
      <c r="B114">
        <v>-1.6137238060215761E-2</v>
      </c>
      <c r="C114">
        <v>1.5059264650226627E-2</v>
      </c>
    </row>
    <row r="115" spans="1:3" x14ac:dyDescent="0.2">
      <c r="A115">
        <v>91</v>
      </c>
      <c r="B115">
        <v>1.0028365930217584E-2</v>
      </c>
      <c r="C115">
        <v>1.2993216803595387E-2</v>
      </c>
    </row>
    <row r="116" spans="1:3" x14ac:dyDescent="0.2">
      <c r="A116">
        <v>92</v>
      </c>
      <c r="B116">
        <v>-4.5924730893995569E-3</v>
      </c>
      <c r="C116">
        <v>1.0569969573225089E-2</v>
      </c>
    </row>
    <row r="117" spans="1:3" x14ac:dyDescent="0.2">
      <c r="A117">
        <v>93</v>
      </c>
      <c r="B117">
        <v>-4.7995156282992053E-4</v>
      </c>
      <c r="C117">
        <v>-1.3151645780756258E-2</v>
      </c>
    </row>
    <row r="118" spans="1:3" x14ac:dyDescent="0.2">
      <c r="A118">
        <v>94</v>
      </c>
      <c r="B118">
        <v>6.0727218137846689E-4</v>
      </c>
      <c r="C118">
        <v>4.5580365136430902E-4</v>
      </c>
    </row>
    <row r="119" spans="1:3" x14ac:dyDescent="0.2">
      <c r="A119">
        <v>95</v>
      </c>
      <c r="B119">
        <v>-1.1597341968115306E-2</v>
      </c>
      <c r="C119">
        <v>9.7787294156660709E-4</v>
      </c>
    </row>
    <row r="120" spans="1:3" x14ac:dyDescent="0.2">
      <c r="A120">
        <v>96</v>
      </c>
      <c r="B120">
        <v>4.7298944747394805E-3</v>
      </c>
      <c r="C120">
        <v>-1.2601093043612427E-2</v>
      </c>
    </row>
    <row r="121" spans="1:3" x14ac:dyDescent="0.2">
      <c r="A121">
        <v>97</v>
      </c>
      <c r="B121">
        <v>4.1565132935791381E-3</v>
      </c>
      <c r="C121">
        <v>1.9740312430237524E-3</v>
      </c>
    </row>
    <row r="122" spans="1:3" x14ac:dyDescent="0.2">
      <c r="A122">
        <v>98</v>
      </c>
      <c r="B122">
        <v>-6.4425795787607116E-3</v>
      </c>
      <c r="C122">
        <v>-2.2589678485755375E-2</v>
      </c>
    </row>
    <row r="123" spans="1:3" x14ac:dyDescent="0.2">
      <c r="A123">
        <v>99</v>
      </c>
      <c r="B123">
        <v>6.5565153641109651E-3</v>
      </c>
      <c r="C123">
        <v>-2.8113699570927759E-4</v>
      </c>
    </row>
    <row r="124" spans="1:3" x14ac:dyDescent="0.2">
      <c r="A124">
        <v>100</v>
      </c>
      <c r="B124">
        <v>1.6626667913553297E-2</v>
      </c>
      <c r="C124">
        <v>-2.5430776497559239E-2</v>
      </c>
    </row>
    <row r="125" spans="1:3" x14ac:dyDescent="0.2">
      <c r="A125">
        <v>101</v>
      </c>
      <c r="B125">
        <v>-6.2180557037567049E-3</v>
      </c>
      <c r="C125">
        <v>1.7769010035346101E-3</v>
      </c>
    </row>
    <row r="126" spans="1:3" x14ac:dyDescent="0.2">
      <c r="A126">
        <v>102</v>
      </c>
      <c r="B126">
        <v>-8.3727177234295524E-3</v>
      </c>
      <c r="C126">
        <v>-9.2096257396821757E-4</v>
      </c>
    </row>
    <row r="127" spans="1:3" x14ac:dyDescent="0.2">
      <c r="A127">
        <v>103</v>
      </c>
      <c r="B127">
        <v>-4.6493068691820013E-3</v>
      </c>
      <c r="C127">
        <v>-1.8239998946953065E-2</v>
      </c>
    </row>
    <row r="128" spans="1:3" x14ac:dyDescent="0.2">
      <c r="A128">
        <v>104</v>
      </c>
      <c r="B128">
        <v>4.5090963537124671E-3</v>
      </c>
      <c r="C128">
        <v>1.5460181680081682E-2</v>
      </c>
    </row>
    <row r="129" spans="1:3" x14ac:dyDescent="0.2">
      <c r="A129">
        <v>105</v>
      </c>
      <c r="B129">
        <v>-8.6124437317724473E-3</v>
      </c>
      <c r="C129">
        <v>7.1064196353869367E-3</v>
      </c>
    </row>
    <row r="130" spans="1:3" x14ac:dyDescent="0.2">
      <c r="A130">
        <v>106</v>
      </c>
      <c r="B130">
        <v>-1.2089103608936605E-2</v>
      </c>
      <c r="C130">
        <v>8.3183645440799737E-3</v>
      </c>
    </row>
    <row r="131" spans="1:3" x14ac:dyDescent="0.2">
      <c r="A131">
        <v>107</v>
      </c>
      <c r="B131">
        <v>6.1346666605571476E-3</v>
      </c>
      <c r="C131">
        <v>-1.1055181422101528E-2</v>
      </c>
    </row>
    <row r="132" spans="1:3" x14ac:dyDescent="0.2">
      <c r="A132">
        <v>108</v>
      </c>
      <c r="B132">
        <v>1.5550993482919512E-2</v>
      </c>
      <c r="C132">
        <v>-1.4409875186989458E-2</v>
      </c>
    </row>
    <row r="133" spans="1:3" x14ac:dyDescent="0.2">
      <c r="A133">
        <v>109</v>
      </c>
      <c r="B133">
        <v>3.4953288577650073E-3</v>
      </c>
      <c r="C133">
        <v>6.0031513853960865E-3</v>
      </c>
    </row>
    <row r="134" spans="1:3" x14ac:dyDescent="0.2">
      <c r="A134">
        <v>110</v>
      </c>
      <c r="B134">
        <v>-9.532024295224319E-3</v>
      </c>
      <c r="C134">
        <v>-4.7698198899468885E-3</v>
      </c>
    </row>
    <row r="135" spans="1:3" x14ac:dyDescent="0.2">
      <c r="A135">
        <v>111</v>
      </c>
      <c r="B135">
        <v>1.3011418274091555E-2</v>
      </c>
      <c r="C135">
        <v>-1.3011418274091555E-2</v>
      </c>
    </row>
    <row r="136" spans="1:3" x14ac:dyDescent="0.2">
      <c r="A136">
        <v>112</v>
      </c>
      <c r="B136">
        <v>5.2689746755093247E-3</v>
      </c>
      <c r="C136">
        <v>-6.8707318639143859E-4</v>
      </c>
    </row>
    <row r="137" spans="1:3" x14ac:dyDescent="0.2">
      <c r="A137">
        <v>113</v>
      </c>
      <c r="B137">
        <v>6.7538383014328278E-5</v>
      </c>
      <c r="C137">
        <v>-1.7931468447628499E-2</v>
      </c>
    </row>
    <row r="138" spans="1:3" x14ac:dyDescent="0.2">
      <c r="A138">
        <v>114</v>
      </c>
      <c r="B138">
        <v>1.6219410594081869E-3</v>
      </c>
      <c r="C138">
        <v>-1.9810795548572232E-2</v>
      </c>
    </row>
    <row r="139" spans="1:3" x14ac:dyDescent="0.2">
      <c r="A139">
        <v>115</v>
      </c>
      <c r="B139">
        <v>-7.9578218616874648E-3</v>
      </c>
      <c r="C139">
        <v>6.3811565089084855E-3</v>
      </c>
    </row>
    <row r="140" spans="1:3" x14ac:dyDescent="0.2">
      <c r="A140">
        <v>116</v>
      </c>
      <c r="B140">
        <v>1.0360860018267894E-2</v>
      </c>
      <c r="C140">
        <v>1.885351029361533E-2</v>
      </c>
    </row>
    <row r="141" spans="1:3" x14ac:dyDescent="0.2">
      <c r="A141">
        <v>117</v>
      </c>
      <c r="B141">
        <v>-2.0237975357584804E-2</v>
      </c>
      <c r="C141">
        <v>3.1745455219495074E-2</v>
      </c>
    </row>
    <row r="142" spans="1:3" x14ac:dyDescent="0.2">
      <c r="A142">
        <v>118</v>
      </c>
      <c r="B142">
        <v>-4.1936457215510023E-3</v>
      </c>
      <c r="C142">
        <v>1.1598952475274206E-3</v>
      </c>
    </row>
    <row r="143" spans="1:3" x14ac:dyDescent="0.2">
      <c r="A143">
        <v>119</v>
      </c>
      <c r="B143">
        <v>3.5135823943171782E-3</v>
      </c>
      <c r="C143">
        <v>-8.0780555780371258E-3</v>
      </c>
    </row>
    <row r="144" spans="1:3" x14ac:dyDescent="0.2">
      <c r="A144">
        <v>120</v>
      </c>
      <c r="B144">
        <v>2.9154316929299939E-4</v>
      </c>
      <c r="C144">
        <v>7.73291231408481E-3</v>
      </c>
    </row>
    <row r="145" spans="1:3" x14ac:dyDescent="0.2">
      <c r="A145">
        <v>121</v>
      </c>
      <c r="B145">
        <v>-4.7119658447260836E-3</v>
      </c>
      <c r="C145">
        <v>-1.3104561827753027E-2</v>
      </c>
    </row>
    <row r="146" spans="1:3" x14ac:dyDescent="0.2">
      <c r="A146">
        <v>122</v>
      </c>
      <c r="B146">
        <v>1.2798642690054438E-2</v>
      </c>
      <c r="C146">
        <v>-1.5500302280945996E-2</v>
      </c>
    </row>
    <row r="147" spans="1:3" x14ac:dyDescent="0.2">
      <c r="A147">
        <v>123</v>
      </c>
      <c r="B147">
        <v>-1.9782656309399811E-3</v>
      </c>
      <c r="C147">
        <v>8.5572129993611006E-3</v>
      </c>
    </row>
    <row r="148" spans="1:3" x14ac:dyDescent="0.2">
      <c r="A148">
        <v>124</v>
      </c>
      <c r="B148">
        <v>-1.7943840955662541E-2</v>
      </c>
      <c r="C148">
        <v>1.1023425730748921E-2</v>
      </c>
    </row>
    <row r="149" spans="1:3" x14ac:dyDescent="0.2">
      <c r="A149">
        <v>125</v>
      </c>
      <c r="B149">
        <v>-8.9262403610201654E-3</v>
      </c>
      <c r="C149">
        <v>-3.0753082258942258E-3</v>
      </c>
    </row>
    <row r="150" spans="1:3" x14ac:dyDescent="0.2">
      <c r="A150">
        <v>126</v>
      </c>
      <c r="B150">
        <v>-7.9157324089003424E-3</v>
      </c>
      <c r="C150">
        <v>-7.7582487823221712E-3</v>
      </c>
    </row>
    <row r="151" spans="1:3" x14ac:dyDescent="0.2">
      <c r="A151">
        <v>127</v>
      </c>
      <c r="B151">
        <v>-3.042055776603411E-3</v>
      </c>
      <c r="C151">
        <v>-1.3369251151163115E-3</v>
      </c>
    </row>
    <row r="152" spans="1:3" x14ac:dyDescent="0.2">
      <c r="A152">
        <v>128</v>
      </c>
      <c r="B152">
        <v>1.5905171023360296E-2</v>
      </c>
      <c r="C152">
        <v>1.2483473518822723E-2</v>
      </c>
    </row>
    <row r="153" spans="1:3" x14ac:dyDescent="0.2">
      <c r="A153">
        <v>129</v>
      </c>
      <c r="B153">
        <v>-4.2699201765216922E-3</v>
      </c>
      <c r="C153">
        <v>6.2139326182013462E-3</v>
      </c>
    </row>
    <row r="154" spans="1:3" x14ac:dyDescent="0.2">
      <c r="A154">
        <v>130</v>
      </c>
      <c r="B154">
        <v>-1.1275428456949703E-2</v>
      </c>
      <c r="C154">
        <v>-6.9628330874817648E-3</v>
      </c>
    </row>
    <row r="155" spans="1:3" x14ac:dyDescent="0.2">
      <c r="A155">
        <v>131</v>
      </c>
      <c r="B155">
        <v>1.5893849439323336E-2</v>
      </c>
      <c r="C155">
        <v>-3.6408850124459175E-3</v>
      </c>
    </row>
    <row r="156" spans="1:3" x14ac:dyDescent="0.2">
      <c r="A156">
        <v>132</v>
      </c>
      <c r="B156">
        <v>-1.6427031915933681E-4</v>
      </c>
      <c r="C156">
        <v>-2.178564510985088E-3</v>
      </c>
    </row>
    <row r="157" spans="1:3" x14ac:dyDescent="0.2">
      <c r="A157">
        <v>133</v>
      </c>
      <c r="B157">
        <v>-5.9365958677178431E-3</v>
      </c>
      <c r="C157">
        <v>-1.01103708641804E-2</v>
      </c>
    </row>
    <row r="158" spans="1:3" x14ac:dyDescent="0.2">
      <c r="A158">
        <v>134</v>
      </c>
      <c r="B158">
        <v>-1.3741849168192766E-2</v>
      </c>
      <c r="C158">
        <v>-2.4046535875562179E-2</v>
      </c>
    </row>
    <row r="159" spans="1:3" x14ac:dyDescent="0.2">
      <c r="A159">
        <v>135</v>
      </c>
      <c r="B159">
        <v>1.2931785050474169E-2</v>
      </c>
      <c r="C159">
        <v>2.7580823465441516E-2</v>
      </c>
    </row>
    <row r="160" spans="1:3" x14ac:dyDescent="0.2">
      <c r="A160">
        <v>136</v>
      </c>
      <c r="B160">
        <v>-6.2843866089136793E-3</v>
      </c>
      <c r="C160">
        <v>2.0189829596597344E-2</v>
      </c>
    </row>
    <row r="161" spans="1:3" x14ac:dyDescent="0.2">
      <c r="A161">
        <v>137</v>
      </c>
      <c r="B161">
        <v>-1.9135839882136067E-5</v>
      </c>
      <c r="C161">
        <v>-3.5075099281429369E-3</v>
      </c>
    </row>
    <row r="162" spans="1:3" x14ac:dyDescent="0.2">
      <c r="A162">
        <v>138</v>
      </c>
      <c r="B162">
        <v>2.3388461944241747E-2</v>
      </c>
      <c r="C162">
        <v>5.9895449303703704E-4</v>
      </c>
    </row>
    <row r="163" spans="1:3" x14ac:dyDescent="0.2">
      <c r="A163">
        <v>139</v>
      </c>
      <c r="B163">
        <v>6.202101562233186E-3</v>
      </c>
      <c r="C163">
        <v>1.7223397669717637E-2</v>
      </c>
    </row>
    <row r="164" spans="1:3" x14ac:dyDescent="0.2">
      <c r="A164">
        <v>140</v>
      </c>
      <c r="B164">
        <v>3.5196123956642636E-3</v>
      </c>
      <c r="C164">
        <v>-6.1462540466961698E-3</v>
      </c>
    </row>
    <row r="165" spans="1:3" x14ac:dyDescent="0.2">
      <c r="A165">
        <v>141</v>
      </c>
      <c r="B165">
        <v>5.3376357735710617E-3</v>
      </c>
      <c r="C165">
        <v>-6.0900812212760867E-3</v>
      </c>
    </row>
    <row r="166" spans="1:3" x14ac:dyDescent="0.2">
      <c r="A166">
        <v>142</v>
      </c>
      <c r="B166">
        <v>-4.6638610522887177E-3</v>
      </c>
      <c r="C166">
        <v>-2.3071726096425722E-4</v>
      </c>
    </row>
    <row r="167" spans="1:3" x14ac:dyDescent="0.2">
      <c r="A167">
        <v>143</v>
      </c>
      <c r="B167">
        <v>-5.8978449331145008E-3</v>
      </c>
      <c r="C167">
        <v>-8.1013983510323413E-3</v>
      </c>
    </row>
    <row r="168" spans="1:3" x14ac:dyDescent="0.2">
      <c r="A168">
        <v>144</v>
      </c>
      <c r="B168">
        <v>-3.1933312154041518E-3</v>
      </c>
      <c r="C168">
        <v>-2.9463464515183408E-3</v>
      </c>
    </row>
    <row r="169" spans="1:3" x14ac:dyDescent="0.2">
      <c r="A169">
        <v>145</v>
      </c>
      <c r="B169">
        <v>7.0852509252494859E-3</v>
      </c>
      <c r="C169">
        <v>-3.2242470642455698E-3</v>
      </c>
    </row>
    <row r="170" spans="1:3" x14ac:dyDescent="0.2">
      <c r="A170">
        <v>146</v>
      </c>
      <c r="B170">
        <v>-6.3105064862644406E-3</v>
      </c>
      <c r="C170">
        <v>1.5666033241828158E-4</v>
      </c>
    </row>
    <row r="171" spans="1:3" x14ac:dyDescent="0.2">
      <c r="A171">
        <v>147</v>
      </c>
      <c r="B171">
        <v>1.7401304268825125E-2</v>
      </c>
      <c r="C171">
        <v>3.1360305638295685E-2</v>
      </c>
    </row>
    <row r="172" spans="1:3" x14ac:dyDescent="0.2">
      <c r="A172">
        <v>148</v>
      </c>
      <c r="B172">
        <v>9.9629297176646284E-4</v>
      </c>
      <c r="C172">
        <v>8.2287992791560457E-3</v>
      </c>
    </row>
    <row r="173" spans="1:3" x14ac:dyDescent="0.2">
      <c r="A173">
        <v>149</v>
      </c>
      <c r="B173">
        <v>-1.2628042454402322E-2</v>
      </c>
      <c r="C173">
        <v>5.3154281948044127E-3</v>
      </c>
    </row>
    <row r="174" spans="1:3" x14ac:dyDescent="0.2">
      <c r="A174">
        <v>150</v>
      </c>
      <c r="B174">
        <v>-5.9969889388983991E-3</v>
      </c>
      <c r="C174">
        <v>1.2087753109058016E-3</v>
      </c>
    </row>
    <row r="175" spans="1:3" x14ac:dyDescent="0.2">
      <c r="A175">
        <v>151</v>
      </c>
      <c r="B175">
        <v>5.2378859448541431E-3</v>
      </c>
      <c r="C175">
        <v>-3.7436257521464102E-2</v>
      </c>
    </row>
    <row r="176" spans="1:3" x14ac:dyDescent="0.2">
      <c r="A176">
        <v>152</v>
      </c>
      <c r="B176">
        <v>-7.2964860970509363E-3</v>
      </c>
      <c r="C176">
        <v>-9.9119269048610816E-3</v>
      </c>
    </row>
    <row r="177" spans="1:3" x14ac:dyDescent="0.2">
      <c r="A177">
        <v>153</v>
      </c>
      <c r="B177">
        <v>2.650083074386687E-3</v>
      </c>
      <c r="C177">
        <v>3.3147582295263184E-2</v>
      </c>
    </row>
    <row r="178" spans="1:3" x14ac:dyDescent="0.2">
      <c r="A178">
        <v>154</v>
      </c>
      <c r="B178">
        <v>-1.4365292235693088E-2</v>
      </c>
      <c r="C178">
        <v>2.375672724696281E-2</v>
      </c>
    </row>
    <row r="179" spans="1:3" x14ac:dyDescent="0.2">
      <c r="A179">
        <v>155</v>
      </c>
      <c r="B179">
        <v>2.9578109606397183E-4</v>
      </c>
      <c r="C179">
        <v>6.7753018961205355E-3</v>
      </c>
    </row>
    <row r="180" spans="1:3" x14ac:dyDescent="0.2">
      <c r="A180">
        <v>156</v>
      </c>
      <c r="B180">
        <v>-5.398875810922547E-3</v>
      </c>
      <c r="C180">
        <v>3.9027848464285454E-2</v>
      </c>
    </row>
    <row r="181" spans="1:3" x14ac:dyDescent="0.2">
      <c r="A181">
        <v>157</v>
      </c>
      <c r="B181">
        <v>-4.5086113576375732E-4</v>
      </c>
      <c r="C181">
        <v>-2.3503375546395634E-2</v>
      </c>
    </row>
    <row r="182" spans="1:3" x14ac:dyDescent="0.2">
      <c r="A182">
        <v>158</v>
      </c>
      <c r="B182">
        <v>7.7689850081113405E-3</v>
      </c>
      <c r="C182">
        <v>3.801856077943444E-2</v>
      </c>
    </row>
    <row r="183" spans="1:3" x14ac:dyDescent="0.2">
      <c r="A183">
        <v>159</v>
      </c>
      <c r="B183">
        <v>2.2257268359121138E-3</v>
      </c>
      <c r="C183">
        <v>-1.6586497413845568E-2</v>
      </c>
    </row>
    <row r="184" spans="1:3" x14ac:dyDescent="0.2">
      <c r="A184">
        <v>160</v>
      </c>
      <c r="B184">
        <v>-2.8347176248304956E-3</v>
      </c>
      <c r="C184">
        <v>-1.1379923455482303E-2</v>
      </c>
    </row>
    <row r="185" spans="1:3" x14ac:dyDescent="0.2">
      <c r="A185">
        <v>161</v>
      </c>
      <c r="B185">
        <v>-1.7160610663783965E-3</v>
      </c>
      <c r="C185">
        <v>-1.5947962004998619E-2</v>
      </c>
    </row>
    <row r="186" spans="1:3" x14ac:dyDescent="0.2">
      <c r="A186">
        <v>162</v>
      </c>
      <c r="B186">
        <v>2.2580840455417271E-2</v>
      </c>
      <c r="C186">
        <v>-1.3773501005876045E-2</v>
      </c>
    </row>
    <row r="187" spans="1:3" x14ac:dyDescent="0.2">
      <c r="A187">
        <v>163</v>
      </c>
      <c r="B187">
        <v>-1.2807687353733383E-2</v>
      </c>
      <c r="C187">
        <v>-9.7459685211301137E-3</v>
      </c>
    </row>
    <row r="188" spans="1:3" x14ac:dyDescent="0.2">
      <c r="A188">
        <v>164</v>
      </c>
      <c r="B188">
        <v>-5.9520688716076129E-3</v>
      </c>
      <c r="C188">
        <v>1.486121718648886E-3</v>
      </c>
    </row>
    <row r="189" spans="1:3" x14ac:dyDescent="0.2">
      <c r="A189">
        <v>165</v>
      </c>
      <c r="B189">
        <v>-5.4382901775337864E-4</v>
      </c>
      <c r="C189">
        <v>-5.776663093494676E-4</v>
      </c>
    </row>
    <row r="190" spans="1:3" x14ac:dyDescent="0.2">
      <c r="A190">
        <v>166</v>
      </c>
      <c r="B190">
        <v>1.0678333446272816E-3</v>
      </c>
      <c r="C190">
        <v>-1.7160647715884759E-2</v>
      </c>
    </row>
    <row r="191" spans="1:3" x14ac:dyDescent="0.2">
      <c r="A191">
        <v>167</v>
      </c>
      <c r="B191">
        <v>1.4453490584372302E-3</v>
      </c>
      <c r="C191">
        <v>-4.8687039462272591E-3</v>
      </c>
    </row>
    <row r="192" spans="1:3" x14ac:dyDescent="0.2">
      <c r="A192">
        <v>168</v>
      </c>
      <c r="B192">
        <v>-7.7316807950153534E-3</v>
      </c>
      <c r="C192">
        <v>3.9792749497305421E-2</v>
      </c>
    </row>
    <row r="193" spans="1:3" x14ac:dyDescent="0.2">
      <c r="A193">
        <v>169</v>
      </c>
      <c r="B193">
        <v>-6.9519103957716866E-3</v>
      </c>
      <c r="C193">
        <v>-4.4453930837029879E-4</v>
      </c>
    </row>
    <row r="194" spans="1:3" x14ac:dyDescent="0.2">
      <c r="A194">
        <v>170</v>
      </c>
      <c r="B194">
        <v>5.8523770047995785E-4</v>
      </c>
      <c r="C194">
        <v>1.1709844266733226E-2</v>
      </c>
    </row>
    <row r="195" spans="1:3" x14ac:dyDescent="0.2">
      <c r="A195">
        <v>171</v>
      </c>
      <c r="B195">
        <v>-2.4744655342974001E-3</v>
      </c>
      <c r="C195">
        <v>-1.3351813449876439E-2</v>
      </c>
    </row>
    <row r="196" spans="1:3" x14ac:dyDescent="0.2">
      <c r="A196">
        <v>172</v>
      </c>
      <c r="B196">
        <v>-1.6484660474700874E-3</v>
      </c>
      <c r="C196">
        <v>-5.8309655157310833E-3</v>
      </c>
    </row>
    <row r="197" spans="1:3" x14ac:dyDescent="0.2">
      <c r="A197">
        <v>173</v>
      </c>
      <c r="B197">
        <v>-5.6449717675030875E-3</v>
      </c>
      <c r="C197">
        <v>1.8079033561022376E-2</v>
      </c>
    </row>
    <row r="198" spans="1:3" x14ac:dyDescent="0.2">
      <c r="A198">
        <v>174</v>
      </c>
      <c r="B198">
        <v>-2.3944270590501504E-3</v>
      </c>
      <c r="C198">
        <v>4.9995628982760637E-3</v>
      </c>
    </row>
    <row r="199" spans="1:3" x14ac:dyDescent="0.2">
      <c r="A199">
        <v>175</v>
      </c>
      <c r="B199">
        <v>9.3695434942154387E-3</v>
      </c>
      <c r="C199">
        <v>-8.255957748113078E-3</v>
      </c>
    </row>
    <row r="200" spans="1:3" x14ac:dyDescent="0.2">
      <c r="A200">
        <v>176</v>
      </c>
      <c r="B200">
        <v>5.9305605612674615E-5</v>
      </c>
      <c r="C200">
        <v>-4.1216146539984178E-2</v>
      </c>
    </row>
    <row r="201" spans="1:3" x14ac:dyDescent="0.2">
      <c r="A201">
        <v>177</v>
      </c>
      <c r="B201">
        <v>-1.4561187745901936E-3</v>
      </c>
      <c r="C201">
        <v>7.2565828117132454E-3</v>
      </c>
    </row>
    <row r="202" spans="1:3" x14ac:dyDescent="0.2">
      <c r="A202">
        <v>178</v>
      </c>
      <c r="B202">
        <v>-8.8339231984063422E-3</v>
      </c>
      <c r="C202">
        <v>-5.3913747639158793E-3</v>
      </c>
    </row>
    <row r="203" spans="1:3" x14ac:dyDescent="0.2">
      <c r="A203">
        <v>179</v>
      </c>
      <c r="B203">
        <v>-1.0066570867190911E-2</v>
      </c>
      <c r="C203">
        <v>-2.8154957993963552E-2</v>
      </c>
    </row>
    <row r="204" spans="1:3" x14ac:dyDescent="0.2">
      <c r="A204">
        <v>180</v>
      </c>
      <c r="B204">
        <v>9.0561993989186733E-3</v>
      </c>
      <c r="C204">
        <v>-5.8120793664775423E-3</v>
      </c>
    </row>
    <row r="205" spans="1:3" x14ac:dyDescent="0.2">
      <c r="A205">
        <v>181</v>
      </c>
      <c r="B205">
        <v>1.7826547212288911E-3</v>
      </c>
      <c r="C205">
        <v>9.0779996855165732E-2</v>
      </c>
    </row>
    <row r="206" spans="1:3" x14ac:dyDescent="0.2">
      <c r="A206">
        <v>182</v>
      </c>
      <c r="B206">
        <v>3.6904430222260273E-3</v>
      </c>
      <c r="C206">
        <v>-9.2398325893737199E-3</v>
      </c>
    </row>
    <row r="207" spans="1:3" x14ac:dyDescent="0.2">
      <c r="A207">
        <v>183</v>
      </c>
      <c r="B207">
        <v>-1.7487360665036844E-3</v>
      </c>
      <c r="C207">
        <v>-3.8316210763534057E-3</v>
      </c>
    </row>
    <row r="208" spans="1:3" x14ac:dyDescent="0.2">
      <c r="A208">
        <v>184</v>
      </c>
      <c r="B208">
        <v>-2.5199300228581955E-3</v>
      </c>
      <c r="C208">
        <v>6.4937259674518718E-4</v>
      </c>
    </row>
    <row r="209" spans="1:3" x14ac:dyDescent="0.2">
      <c r="A209">
        <v>185</v>
      </c>
      <c r="B209">
        <v>-8.5777682990006952E-3</v>
      </c>
      <c r="C209">
        <v>-8.6636110113441633E-3</v>
      </c>
    </row>
    <row r="210" spans="1:3" x14ac:dyDescent="0.2">
      <c r="A210">
        <v>186</v>
      </c>
      <c r="B210">
        <v>7.288567756925316E-3</v>
      </c>
      <c r="C210">
        <v>-1.4916332821761292E-2</v>
      </c>
    </row>
    <row r="211" spans="1:3" x14ac:dyDescent="0.2">
      <c r="A211">
        <v>187</v>
      </c>
      <c r="B211">
        <v>1.2016483869381716E-2</v>
      </c>
      <c r="C211">
        <v>1.1427021126775067E-2</v>
      </c>
    </row>
    <row r="212" spans="1:3" x14ac:dyDescent="0.2">
      <c r="A212">
        <v>188</v>
      </c>
      <c r="B212">
        <v>-1.8179261582576493E-2</v>
      </c>
      <c r="C212">
        <v>6.5382551987988452E-3</v>
      </c>
    </row>
    <row r="213" spans="1:3" x14ac:dyDescent="0.2">
      <c r="A213">
        <v>189</v>
      </c>
      <c r="B213">
        <v>1.4947420935012345E-2</v>
      </c>
      <c r="C213">
        <v>1.2788141375018065E-2</v>
      </c>
    </row>
    <row r="214" spans="1:3" x14ac:dyDescent="0.2">
      <c r="A214">
        <v>190</v>
      </c>
      <c r="B214">
        <v>-1.2638657660676842E-2</v>
      </c>
      <c r="C214">
        <v>8.9417999896971231E-3</v>
      </c>
    </row>
    <row r="215" spans="1:3" x14ac:dyDescent="0.2">
      <c r="A215">
        <v>191</v>
      </c>
      <c r="B215">
        <v>-4.5293992713709074E-3</v>
      </c>
      <c r="C215">
        <v>3.4162267296270268E-3</v>
      </c>
    </row>
    <row r="216" spans="1:3" x14ac:dyDescent="0.2">
      <c r="A216">
        <v>192</v>
      </c>
      <c r="B216">
        <v>-3.9621447687616376E-3</v>
      </c>
      <c r="C216">
        <v>-1.6468761620540021E-2</v>
      </c>
    </row>
    <row r="217" spans="1:3" x14ac:dyDescent="0.2">
      <c r="A217">
        <v>193</v>
      </c>
      <c r="B217">
        <v>-6.2431307651695149E-3</v>
      </c>
      <c r="C217">
        <v>-3.2373394661539589E-3</v>
      </c>
    </row>
    <row r="218" spans="1:3" x14ac:dyDescent="0.2">
      <c r="A218">
        <v>194</v>
      </c>
      <c r="B218">
        <v>-1.2053552658534885E-3</v>
      </c>
      <c r="C218">
        <v>2.5707652356205729E-2</v>
      </c>
    </row>
    <row r="219" spans="1:3" x14ac:dyDescent="0.2">
      <c r="A219">
        <v>195</v>
      </c>
      <c r="B219">
        <v>-6.7168220384414236E-3</v>
      </c>
      <c r="C219">
        <v>7.4642061938973115E-3</v>
      </c>
    </row>
    <row r="220" spans="1:3" x14ac:dyDescent="0.2">
      <c r="A220">
        <v>196</v>
      </c>
      <c r="B220">
        <v>-8.4219405387062681E-3</v>
      </c>
      <c r="C220">
        <v>-1.0248709199904634E-2</v>
      </c>
    </row>
    <row r="221" spans="1:3" x14ac:dyDescent="0.2">
      <c r="A221">
        <v>197</v>
      </c>
      <c r="B221">
        <v>3.4010636212752736E-3</v>
      </c>
      <c r="C221">
        <v>-1.938279878109269E-2</v>
      </c>
    </row>
    <row r="222" spans="1:3" x14ac:dyDescent="0.2">
      <c r="A222">
        <v>198</v>
      </c>
      <c r="B222">
        <v>-8.747899339888161E-3</v>
      </c>
      <c r="C222">
        <v>5.6543185200893095E-3</v>
      </c>
    </row>
    <row r="223" spans="1:3" x14ac:dyDescent="0.2">
      <c r="A223">
        <v>199</v>
      </c>
      <c r="B223">
        <v>3.8458027787064671E-3</v>
      </c>
      <c r="C223">
        <v>3.1363539319219161E-3</v>
      </c>
    </row>
    <row r="224" spans="1:3" x14ac:dyDescent="0.2">
      <c r="A224">
        <v>200</v>
      </c>
      <c r="B224">
        <v>1.347244547200401E-2</v>
      </c>
      <c r="C224">
        <v>1.4262531415515206E-2</v>
      </c>
    </row>
    <row r="225" spans="1:3" x14ac:dyDescent="0.2">
      <c r="A225">
        <v>201</v>
      </c>
      <c r="B225">
        <v>-1.6256364950440678E-4</v>
      </c>
      <c r="C225">
        <v>-1.3705502317512124E-2</v>
      </c>
    </row>
    <row r="226" spans="1:3" x14ac:dyDescent="0.2">
      <c r="A226">
        <v>202</v>
      </c>
      <c r="B226">
        <v>8.0080492941368871E-4</v>
      </c>
      <c r="C226">
        <v>1.4402539806428279E-2</v>
      </c>
    </row>
    <row r="227" spans="1:3" x14ac:dyDescent="0.2">
      <c r="A227">
        <v>203</v>
      </c>
      <c r="B227">
        <v>-5.7913097986173395E-3</v>
      </c>
      <c r="C227">
        <v>-8.4355715192412362E-3</v>
      </c>
    </row>
    <row r="228" spans="1:3" x14ac:dyDescent="0.2">
      <c r="A228">
        <v>204</v>
      </c>
      <c r="B228">
        <v>7.4413616408417742E-3</v>
      </c>
      <c r="C228">
        <v>-1.9215003874035803E-2</v>
      </c>
    </row>
    <row r="229" spans="1:3" x14ac:dyDescent="0.2">
      <c r="A229">
        <v>205</v>
      </c>
      <c r="B229">
        <v>-1.2069478069247319E-2</v>
      </c>
      <c r="C229">
        <v>-9.8367479107680632E-3</v>
      </c>
    </row>
    <row r="230" spans="1:3" x14ac:dyDescent="0.2">
      <c r="A230">
        <v>206</v>
      </c>
      <c r="B230">
        <v>6.6122231946110074E-3</v>
      </c>
      <c r="C230">
        <v>-1.6435405905809435E-2</v>
      </c>
    </row>
    <row r="231" spans="1:3" x14ac:dyDescent="0.2">
      <c r="A231">
        <v>207</v>
      </c>
      <c r="B231">
        <v>1.7672998011865229E-3</v>
      </c>
      <c r="C231">
        <v>7.3596843257976215E-3</v>
      </c>
    </row>
    <row r="232" spans="1:3" x14ac:dyDescent="0.2">
      <c r="A232">
        <v>208</v>
      </c>
      <c r="B232">
        <v>4.1317295439095127E-3</v>
      </c>
      <c r="C232">
        <v>1.9069214223294571E-2</v>
      </c>
    </row>
    <row r="233" spans="1:3" x14ac:dyDescent="0.2">
      <c r="A233">
        <v>209</v>
      </c>
      <c r="B233">
        <v>1.7687511211746592E-2</v>
      </c>
      <c r="C233">
        <v>8.0619123086224202E-3</v>
      </c>
    </row>
    <row r="234" spans="1:3" x14ac:dyDescent="0.2">
      <c r="A234">
        <v>210</v>
      </c>
      <c r="B234">
        <v>-6.3086360364421759E-3</v>
      </c>
      <c r="C234">
        <v>1.5675440082901525E-2</v>
      </c>
    </row>
    <row r="235" spans="1:3" x14ac:dyDescent="0.2">
      <c r="A235">
        <v>211</v>
      </c>
      <c r="B235">
        <v>3.4156633322496295E-3</v>
      </c>
      <c r="C235">
        <v>-1.1884918400447771E-3</v>
      </c>
    </row>
    <row r="236" spans="1:3" x14ac:dyDescent="0.2">
      <c r="A236">
        <v>212</v>
      </c>
      <c r="B236">
        <v>-9.1336922508810404E-3</v>
      </c>
      <c r="C236">
        <v>-9.384826267637477E-3</v>
      </c>
    </row>
    <row r="237" spans="1:3" x14ac:dyDescent="0.2">
      <c r="A237">
        <v>213</v>
      </c>
      <c r="B237">
        <v>-1.0994029611041066E-2</v>
      </c>
      <c r="C237">
        <v>-3.2672510594009344E-4</v>
      </c>
    </row>
    <row r="238" spans="1:3" x14ac:dyDescent="0.2">
      <c r="A238">
        <v>214</v>
      </c>
      <c r="B238">
        <v>-6.1977570948398744E-4</v>
      </c>
      <c r="C238">
        <v>-2.051980015706863E-3</v>
      </c>
    </row>
    <row r="239" spans="1:3" x14ac:dyDescent="0.2">
      <c r="A239">
        <v>215</v>
      </c>
      <c r="B239">
        <v>5.6850432581457139E-3</v>
      </c>
      <c r="C239">
        <v>9.6230317514219149E-3</v>
      </c>
    </row>
    <row r="240" spans="1:3" x14ac:dyDescent="0.2">
      <c r="A240">
        <v>216</v>
      </c>
      <c r="B240">
        <v>-8.0479230639168859E-3</v>
      </c>
      <c r="C240">
        <v>3.147809984384185E-3</v>
      </c>
    </row>
    <row r="241" spans="1:3" x14ac:dyDescent="0.2">
      <c r="A241">
        <v>217</v>
      </c>
      <c r="B241">
        <v>-1.1074052993862202E-2</v>
      </c>
      <c r="C241">
        <v>6.907386327195556E-3</v>
      </c>
    </row>
    <row r="242" spans="1:3" x14ac:dyDescent="0.2">
      <c r="A242">
        <v>218</v>
      </c>
      <c r="B242">
        <v>1.8017453428760873E-3</v>
      </c>
      <c r="C242">
        <v>-9.4092006490761361E-3</v>
      </c>
    </row>
    <row r="243" spans="1:3" x14ac:dyDescent="0.2">
      <c r="A243">
        <v>219</v>
      </c>
      <c r="B243">
        <v>-1.052446307436335E-2</v>
      </c>
      <c r="C243">
        <v>-5.9090679915137397E-4</v>
      </c>
    </row>
    <row r="244" spans="1:3" x14ac:dyDescent="0.2">
      <c r="A244">
        <v>220</v>
      </c>
      <c r="B244">
        <v>-2.1870742117172673E-2</v>
      </c>
      <c r="C244">
        <v>-1.378817261150956E-2</v>
      </c>
    </row>
    <row r="245" spans="1:3" x14ac:dyDescent="0.2">
      <c r="A245">
        <v>221</v>
      </c>
      <c r="B245">
        <v>-4.0641326392602409E-3</v>
      </c>
      <c r="C245">
        <v>4.4660618997104645E-3</v>
      </c>
    </row>
    <row r="246" spans="1:3" x14ac:dyDescent="0.2">
      <c r="A246">
        <v>222</v>
      </c>
      <c r="B246">
        <v>-6.3642538391306524E-3</v>
      </c>
      <c r="C246">
        <v>-4.885243951146612E-3</v>
      </c>
    </row>
    <row r="247" spans="1:3" x14ac:dyDescent="0.2">
      <c r="A247">
        <v>223</v>
      </c>
      <c r="B247">
        <v>-1.0114497971690124E-3</v>
      </c>
      <c r="C247">
        <v>-4.6772946156713197E-3</v>
      </c>
    </row>
    <row r="248" spans="1:3" x14ac:dyDescent="0.2">
      <c r="A248">
        <v>224</v>
      </c>
      <c r="B248">
        <v>-3.7902223652492633E-3</v>
      </c>
      <c r="C248">
        <v>-3.1570600213464929E-3</v>
      </c>
    </row>
    <row r="249" spans="1:3" x14ac:dyDescent="0.2">
      <c r="A249">
        <v>225</v>
      </c>
      <c r="B249">
        <v>1.1397837723683892E-4</v>
      </c>
      <c r="C249">
        <v>-1.4517270558306856E-2</v>
      </c>
    </row>
    <row r="250" spans="1:3" x14ac:dyDescent="0.2">
      <c r="A250">
        <v>226</v>
      </c>
      <c r="B250">
        <v>-2.0204114710293417E-2</v>
      </c>
      <c r="C250">
        <v>1.1018310952464654E-2</v>
      </c>
    </row>
    <row r="251" spans="1:3" x14ac:dyDescent="0.2">
      <c r="A251">
        <v>227</v>
      </c>
      <c r="B251">
        <v>1.1283850786817498E-2</v>
      </c>
      <c r="C251">
        <v>-2.434293264693568E-3</v>
      </c>
    </row>
    <row r="252" spans="1:3" x14ac:dyDescent="0.2">
      <c r="A252">
        <v>228</v>
      </c>
      <c r="B252">
        <v>-9.0030295396903333E-3</v>
      </c>
      <c r="C252">
        <v>-8.1231191654057462E-3</v>
      </c>
    </row>
    <row r="253" spans="1:3" x14ac:dyDescent="0.2">
      <c r="A253">
        <v>229</v>
      </c>
      <c r="B253">
        <v>1.9552747706244353E-3</v>
      </c>
      <c r="C253">
        <v>-2.805253521155654E-3</v>
      </c>
    </row>
    <row r="254" spans="1:3" x14ac:dyDescent="0.2">
      <c r="A254">
        <v>230</v>
      </c>
      <c r="B254">
        <v>-9.2048741892933779E-3</v>
      </c>
      <c r="C254">
        <v>1.3033032419833567E-2</v>
      </c>
    </row>
    <row r="255" spans="1:3" x14ac:dyDescent="0.2">
      <c r="A255">
        <v>231</v>
      </c>
      <c r="B255">
        <v>-4.1823576977732483E-3</v>
      </c>
      <c r="C255">
        <v>-1.6156625353074223E-2</v>
      </c>
    </row>
    <row r="256" spans="1:3" x14ac:dyDescent="0.2">
      <c r="A256">
        <v>232</v>
      </c>
      <c r="B256">
        <v>-5.5229122083748049E-3</v>
      </c>
      <c r="C256">
        <v>-2.695080871210025E-3</v>
      </c>
    </row>
    <row r="257" spans="1:3" x14ac:dyDescent="0.2">
      <c r="A257">
        <v>233</v>
      </c>
      <c r="B257">
        <v>8.7747403482211252E-3</v>
      </c>
      <c r="C257">
        <v>-4.4136413512738323E-3</v>
      </c>
    </row>
    <row r="258" spans="1:3" x14ac:dyDescent="0.2">
      <c r="A258">
        <v>234</v>
      </c>
      <c r="B258">
        <v>-1.9529249964782634E-3</v>
      </c>
      <c r="C258">
        <v>1.2374114748974938E-2</v>
      </c>
    </row>
    <row r="259" spans="1:3" x14ac:dyDescent="0.2">
      <c r="A259">
        <v>235</v>
      </c>
      <c r="B259">
        <v>7.3796825162847522E-3</v>
      </c>
      <c r="C259">
        <v>1.2388259039366335E-2</v>
      </c>
    </row>
    <row r="260" spans="1:3" x14ac:dyDescent="0.2">
      <c r="A260">
        <v>236</v>
      </c>
      <c r="B260">
        <v>1.7666805007463789E-3</v>
      </c>
      <c r="C260">
        <v>6.2400620192705316E-3</v>
      </c>
    </row>
    <row r="261" spans="1:3" x14ac:dyDescent="0.2">
      <c r="A261">
        <v>237</v>
      </c>
      <c r="B261">
        <v>-3.7951092152018273E-3</v>
      </c>
      <c r="C261">
        <v>7.1395908205529263E-3</v>
      </c>
    </row>
    <row r="262" spans="1:3" x14ac:dyDescent="0.2">
      <c r="A262">
        <v>238</v>
      </c>
      <c r="B262">
        <v>-1.5650409295363604E-3</v>
      </c>
      <c r="C262">
        <v>-1.6768292403797024E-2</v>
      </c>
    </row>
    <row r="263" spans="1:3" x14ac:dyDescent="0.2">
      <c r="A263">
        <v>239</v>
      </c>
      <c r="B263">
        <v>1.2497712665201842E-3</v>
      </c>
      <c r="C263">
        <v>3.4191591239723031E-3</v>
      </c>
    </row>
    <row r="264" spans="1:3" x14ac:dyDescent="0.2">
      <c r="A264">
        <v>240</v>
      </c>
      <c r="B264">
        <v>7.9678380863708459E-3</v>
      </c>
      <c r="C264">
        <v>3.4390060200930137E-3</v>
      </c>
    </row>
    <row r="265" spans="1:3" x14ac:dyDescent="0.2">
      <c r="A265">
        <v>241</v>
      </c>
      <c r="B265">
        <v>-1.9135849291422643E-2</v>
      </c>
      <c r="C265">
        <v>-9.6862058464220191E-3</v>
      </c>
    </row>
    <row r="266" spans="1:3" x14ac:dyDescent="0.2">
      <c r="A266">
        <v>242</v>
      </c>
      <c r="B266">
        <v>-1.1104166551767771E-2</v>
      </c>
      <c r="C266">
        <v>1.4114919239939825E-2</v>
      </c>
    </row>
    <row r="267" spans="1:3" x14ac:dyDescent="0.2">
      <c r="A267">
        <v>243</v>
      </c>
      <c r="B267">
        <v>5.3546927780549263E-3</v>
      </c>
      <c r="C267">
        <v>-6.3771164597947912E-4</v>
      </c>
    </row>
    <row r="268" spans="1:3" x14ac:dyDescent="0.2">
      <c r="A268">
        <v>244</v>
      </c>
      <c r="B268">
        <v>6.5437237683568933E-3</v>
      </c>
      <c r="C268">
        <v>-3.8127163802501085E-2</v>
      </c>
    </row>
    <row r="269" spans="1:3" x14ac:dyDescent="0.2">
      <c r="A269">
        <v>245</v>
      </c>
      <c r="B269">
        <v>-3.1495001224772327E-3</v>
      </c>
      <c r="C269">
        <v>1.1963955829837272E-2</v>
      </c>
    </row>
    <row r="270" spans="1:3" x14ac:dyDescent="0.2">
      <c r="A270">
        <v>246</v>
      </c>
      <c r="B270">
        <v>-4.0505792821511951E-3</v>
      </c>
      <c r="C270">
        <v>-1.5171788564069916E-2</v>
      </c>
    </row>
    <row r="271" spans="1:3" x14ac:dyDescent="0.2">
      <c r="A271">
        <v>247</v>
      </c>
      <c r="B271">
        <v>2.5335270245792243E-3</v>
      </c>
      <c r="C271">
        <v>-1.3223950187162674E-2</v>
      </c>
    </row>
    <row r="272" spans="1:3" x14ac:dyDescent="0.2">
      <c r="A272">
        <v>248</v>
      </c>
      <c r="B272">
        <v>-3.2465127645388472E-3</v>
      </c>
      <c r="C272">
        <v>3.2465127645388472E-3</v>
      </c>
    </row>
    <row r="273" spans="1:3" x14ac:dyDescent="0.2">
      <c r="A273">
        <v>249</v>
      </c>
      <c r="B273">
        <v>-1.4319280012588363E-2</v>
      </c>
      <c r="C273">
        <v>-1.6747806885205482E-2</v>
      </c>
    </row>
    <row r="274" spans="1:3" x14ac:dyDescent="0.2">
      <c r="A274">
        <v>250</v>
      </c>
      <c r="B274">
        <v>-1.2752652508590106E-2</v>
      </c>
      <c r="C274">
        <v>4.853024255802087E-3</v>
      </c>
    </row>
    <row r="275" spans="1:3" x14ac:dyDescent="0.2">
      <c r="A275">
        <v>251</v>
      </c>
      <c r="B275">
        <v>-1.048827543649729E-2</v>
      </c>
      <c r="C275">
        <v>-6.8419353363364781E-3</v>
      </c>
    </row>
    <row r="276" spans="1:3" x14ac:dyDescent="0.2">
      <c r="A276">
        <v>252</v>
      </c>
      <c r="B276">
        <v>-1.5503796996090829E-3</v>
      </c>
      <c r="C276">
        <v>-3.5619799343186796E-4</v>
      </c>
    </row>
    <row r="277" spans="1:3" x14ac:dyDescent="0.2">
      <c r="A277">
        <v>253</v>
      </c>
      <c r="B277">
        <v>9.5652517555399417E-3</v>
      </c>
      <c r="C277">
        <v>1.0492054834717849E-2</v>
      </c>
    </row>
    <row r="278" spans="1:3" x14ac:dyDescent="0.2">
      <c r="A278">
        <v>254</v>
      </c>
      <c r="B278">
        <v>-2.5853316526208881E-3</v>
      </c>
      <c r="C278">
        <v>1.2884957120785629E-2</v>
      </c>
    </row>
    <row r="279" spans="1:3" x14ac:dyDescent="0.2">
      <c r="A279">
        <v>255</v>
      </c>
      <c r="B279">
        <v>7.9214462986939675E-3</v>
      </c>
      <c r="C279">
        <v>-1.5335718773207248E-2</v>
      </c>
    </row>
    <row r="280" spans="1:3" x14ac:dyDescent="0.2">
      <c r="A280">
        <v>256</v>
      </c>
      <c r="B280">
        <v>-3.5327719108446112E-4</v>
      </c>
      <c r="C280">
        <v>-3.3815500731546539E-3</v>
      </c>
    </row>
    <row r="281" spans="1:3" x14ac:dyDescent="0.2">
      <c r="A281">
        <v>257</v>
      </c>
      <c r="B281">
        <v>-3.0227154818533602E-3</v>
      </c>
      <c r="C281">
        <v>1.9892443691787731E-2</v>
      </c>
    </row>
    <row r="282" spans="1:3" x14ac:dyDescent="0.2">
      <c r="A282">
        <v>258</v>
      </c>
      <c r="B282">
        <v>1.0491472788914874E-2</v>
      </c>
      <c r="C282">
        <v>-2.0168892143753624E-2</v>
      </c>
    </row>
    <row r="283" spans="1:3" x14ac:dyDescent="0.2">
      <c r="A283">
        <v>259</v>
      </c>
      <c r="B283">
        <v>1.4549580136545578E-2</v>
      </c>
      <c r="C283">
        <v>-6.1735913045305353E-3</v>
      </c>
    </row>
    <row r="284" spans="1:3" x14ac:dyDescent="0.2">
      <c r="A284">
        <v>260</v>
      </c>
      <c r="B284">
        <v>1.6138395043824642E-2</v>
      </c>
      <c r="C284">
        <v>-4.485011813419558E-4</v>
      </c>
    </row>
    <row r="285" spans="1:3" x14ac:dyDescent="0.2">
      <c r="A285">
        <v>261</v>
      </c>
      <c r="B285">
        <v>-3.9283063103270352E-3</v>
      </c>
      <c r="C285">
        <v>1.1197729299877245E-2</v>
      </c>
    </row>
    <row r="286" spans="1:3" x14ac:dyDescent="0.2">
      <c r="A286">
        <v>262</v>
      </c>
      <c r="B286">
        <v>-5.4202238872824542E-3</v>
      </c>
      <c r="C286">
        <v>-7.2094558601240016E-3</v>
      </c>
    </row>
    <row r="287" spans="1:3" x14ac:dyDescent="0.2">
      <c r="A287">
        <v>263</v>
      </c>
      <c r="B287">
        <v>4.8284466927196665E-3</v>
      </c>
      <c r="C287">
        <v>1.6642544627517832E-2</v>
      </c>
    </row>
    <row r="288" spans="1:3" x14ac:dyDescent="0.2">
      <c r="A288">
        <v>264</v>
      </c>
      <c r="B288">
        <v>7.4221935016229512E-3</v>
      </c>
      <c r="C288">
        <v>9.5724397720800443E-3</v>
      </c>
    </row>
    <row r="289" spans="1:3" x14ac:dyDescent="0.2">
      <c r="A289">
        <v>265</v>
      </c>
      <c r="B289">
        <v>-1.2844711230766595E-3</v>
      </c>
      <c r="C289">
        <v>-3.1257305482024413E-2</v>
      </c>
    </row>
    <row r="290" spans="1:3" x14ac:dyDescent="0.2">
      <c r="A290">
        <v>266</v>
      </c>
      <c r="B290">
        <v>-8.9477227456053014E-3</v>
      </c>
      <c r="C290">
        <v>-1.0597731799849231E-2</v>
      </c>
    </row>
    <row r="291" spans="1:3" x14ac:dyDescent="0.2">
      <c r="A291">
        <v>267</v>
      </c>
      <c r="B291">
        <v>-1.314551309189671E-2</v>
      </c>
      <c r="C291">
        <v>3.8733758642657736E-3</v>
      </c>
    </row>
    <row r="292" spans="1:3" x14ac:dyDescent="0.2">
      <c r="A292">
        <v>268</v>
      </c>
      <c r="B292">
        <v>-2.6970253693132636E-3</v>
      </c>
      <c r="C292">
        <v>1.8607179791400294E-2</v>
      </c>
    </row>
    <row r="293" spans="1:3" x14ac:dyDescent="0.2">
      <c r="A293">
        <v>269</v>
      </c>
      <c r="B293">
        <v>-4.7340662799390879E-3</v>
      </c>
      <c r="C293">
        <v>-1.3690622803432726E-2</v>
      </c>
    </row>
    <row r="294" spans="1:3" x14ac:dyDescent="0.2">
      <c r="A294">
        <v>270</v>
      </c>
      <c r="B294">
        <v>-6.4882042793385645E-3</v>
      </c>
      <c r="C294">
        <v>7.426730792712547E-3</v>
      </c>
    </row>
    <row r="295" spans="1:3" x14ac:dyDescent="0.2">
      <c r="A295">
        <v>271</v>
      </c>
      <c r="B295">
        <v>1.0252057606160421E-2</v>
      </c>
      <c r="C295">
        <v>-8.3767645916267737E-3</v>
      </c>
    </row>
    <row r="296" spans="1:3" x14ac:dyDescent="0.2">
      <c r="A296">
        <v>272</v>
      </c>
      <c r="B296">
        <v>1.6476191461313055E-2</v>
      </c>
      <c r="C296">
        <v>-6.181385658786202E-3</v>
      </c>
    </row>
    <row r="297" spans="1:3" x14ac:dyDescent="0.2">
      <c r="A297">
        <v>273</v>
      </c>
      <c r="B297">
        <v>2.2493669551241296E-3</v>
      </c>
      <c r="C297">
        <v>6.087826189850383E-3</v>
      </c>
    </row>
    <row r="298" spans="1:3" x14ac:dyDescent="0.2">
      <c r="A298">
        <v>274</v>
      </c>
      <c r="B298">
        <v>-4.963735878566607E-3</v>
      </c>
      <c r="C298">
        <v>3.7025861627915276E-4</v>
      </c>
    </row>
    <row r="299" spans="1:3" x14ac:dyDescent="0.2">
      <c r="A299">
        <v>275</v>
      </c>
      <c r="B299">
        <v>1.0479263318659536E-3</v>
      </c>
      <c r="C299">
        <v>9.5658253986368996E-3</v>
      </c>
    </row>
    <row r="300" spans="1:3" x14ac:dyDescent="0.2">
      <c r="A300">
        <v>276</v>
      </c>
      <c r="B300">
        <v>1.2561480309457316E-3</v>
      </c>
      <c r="C300">
        <v>-2.6260110446442515E-3</v>
      </c>
    </row>
    <row r="301" spans="1:3" x14ac:dyDescent="0.2">
      <c r="A301">
        <v>277</v>
      </c>
      <c r="B301">
        <v>6.7998977273575701E-3</v>
      </c>
      <c r="C301">
        <v>9.6610076224366431E-3</v>
      </c>
    </row>
    <row r="302" spans="1:3" x14ac:dyDescent="0.2">
      <c r="A302">
        <v>278</v>
      </c>
      <c r="B302">
        <v>-1.7193011007710516E-3</v>
      </c>
      <c r="C302">
        <v>-8.177235111554583E-3</v>
      </c>
    </row>
    <row r="303" spans="1:3" x14ac:dyDescent="0.2">
      <c r="A303">
        <v>279</v>
      </c>
      <c r="B303">
        <v>-8.1820932989820877E-4</v>
      </c>
      <c r="C303">
        <v>8.9963101931421745E-3</v>
      </c>
    </row>
    <row r="304" spans="1:3" x14ac:dyDescent="0.2">
      <c r="A304">
        <v>280</v>
      </c>
      <c r="B304">
        <v>1.6326434811589557E-2</v>
      </c>
      <c r="C304">
        <v>-1.4073167574095317E-2</v>
      </c>
    </row>
    <row r="305" spans="1:3" x14ac:dyDescent="0.2">
      <c r="A305">
        <v>281</v>
      </c>
      <c r="B305">
        <v>5.4474043291206269E-3</v>
      </c>
      <c r="C305">
        <v>-3.199202890271674E-3</v>
      </c>
    </row>
    <row r="306" spans="1:3" x14ac:dyDescent="0.2">
      <c r="A306">
        <v>282</v>
      </c>
      <c r="B306">
        <v>5.4220017701011956E-3</v>
      </c>
      <c r="C306">
        <v>-3.1788434031204548E-3</v>
      </c>
    </row>
    <row r="307" spans="1:3" x14ac:dyDescent="0.2">
      <c r="A307">
        <v>283</v>
      </c>
      <c r="B307">
        <v>9.0333424608509266E-3</v>
      </c>
      <c r="C307">
        <v>-2.318928852972745E-3</v>
      </c>
    </row>
    <row r="308" spans="1:3" x14ac:dyDescent="0.2">
      <c r="A308">
        <v>284</v>
      </c>
      <c r="B308">
        <v>-1.708031040209675E-2</v>
      </c>
      <c r="C308">
        <v>1.9624802553648742E-3</v>
      </c>
    </row>
    <row r="309" spans="1:3" x14ac:dyDescent="0.2">
      <c r="A309">
        <v>285</v>
      </c>
      <c r="B309">
        <v>-6.5539807333400285E-3</v>
      </c>
      <c r="C309">
        <v>1.1068653419570341E-2</v>
      </c>
    </row>
    <row r="310" spans="1:3" x14ac:dyDescent="0.2">
      <c r="A310">
        <v>286</v>
      </c>
      <c r="B310">
        <v>9.6011893205884338E-3</v>
      </c>
      <c r="C310">
        <v>8.3763387692991423E-3</v>
      </c>
    </row>
    <row r="311" spans="1:3" x14ac:dyDescent="0.2">
      <c r="A311">
        <v>287</v>
      </c>
      <c r="B311">
        <v>-2.8025685561229511E-3</v>
      </c>
      <c r="C311">
        <v>8.1005818011561075E-3</v>
      </c>
    </row>
    <row r="312" spans="1:3" x14ac:dyDescent="0.2">
      <c r="A312">
        <v>288</v>
      </c>
      <c r="B312">
        <v>-5.3023527649326404E-3</v>
      </c>
      <c r="C312">
        <v>1.8477583331467585E-2</v>
      </c>
    </row>
    <row r="313" spans="1:3" x14ac:dyDescent="0.2">
      <c r="A313">
        <v>289</v>
      </c>
      <c r="B313">
        <v>2.6541142638913788E-3</v>
      </c>
      <c r="C313">
        <v>-1.4357625317207355E-2</v>
      </c>
    </row>
    <row r="314" spans="1:3" x14ac:dyDescent="0.2">
      <c r="A314">
        <v>290</v>
      </c>
      <c r="B314">
        <v>1.4611389566662292E-2</v>
      </c>
      <c r="C314">
        <v>3.8096630649165734E-3</v>
      </c>
    </row>
    <row r="315" spans="1:3" x14ac:dyDescent="0.2">
      <c r="A315">
        <v>291</v>
      </c>
      <c r="B315">
        <v>9.1101802125863433E-3</v>
      </c>
      <c r="C315">
        <v>8.5470118632103922E-3</v>
      </c>
    </row>
    <row r="316" spans="1:3" x14ac:dyDescent="0.2">
      <c r="A316">
        <v>292</v>
      </c>
      <c r="B316">
        <v>1.2666563219382362E-3</v>
      </c>
      <c r="C316">
        <v>8.4667334368429929E-3</v>
      </c>
    </row>
    <row r="317" spans="1:3" x14ac:dyDescent="0.2">
      <c r="A317">
        <v>293</v>
      </c>
      <c r="B317">
        <v>-6.2325027340553955E-3</v>
      </c>
      <c r="C317">
        <v>1.7129401309076416E-2</v>
      </c>
    </row>
    <row r="318" spans="1:3" x14ac:dyDescent="0.2">
      <c r="A318">
        <v>294</v>
      </c>
      <c r="B318">
        <v>4.4740669233491841E-3</v>
      </c>
      <c r="C318">
        <v>-1.5719110361186585E-3</v>
      </c>
    </row>
    <row r="319" spans="1:3" x14ac:dyDescent="0.2">
      <c r="A319">
        <v>295</v>
      </c>
      <c r="B319">
        <v>-2.0748148710479472E-3</v>
      </c>
      <c r="C319">
        <v>-6.1930644179145518E-3</v>
      </c>
    </row>
    <row r="320" spans="1:3" x14ac:dyDescent="0.2">
      <c r="A320">
        <v>296</v>
      </c>
      <c r="B320">
        <v>-1.5428565368319418E-2</v>
      </c>
      <c r="C320">
        <v>1.876328816948665E-2</v>
      </c>
    </row>
    <row r="321" spans="1:3" x14ac:dyDescent="0.2">
      <c r="A321">
        <v>297</v>
      </c>
      <c r="B321">
        <v>-8.8229184921791246E-3</v>
      </c>
      <c r="C321">
        <v>1.3392922646728332E-2</v>
      </c>
    </row>
    <row r="322" spans="1:3" x14ac:dyDescent="0.2">
      <c r="A322">
        <v>298</v>
      </c>
      <c r="B322">
        <v>-5.9343562990887954E-3</v>
      </c>
      <c r="C322">
        <v>8.8293108069465408E-3</v>
      </c>
    </row>
    <row r="323" spans="1:3" x14ac:dyDescent="0.2">
      <c r="A323">
        <v>299</v>
      </c>
      <c r="B323">
        <v>1.1477903238475027E-2</v>
      </c>
      <c r="C323">
        <v>1.367673593678268E-2</v>
      </c>
    </row>
    <row r="324" spans="1:3" x14ac:dyDescent="0.2">
      <c r="A324">
        <v>300</v>
      </c>
      <c r="B324">
        <v>-5.856431080651623E-3</v>
      </c>
      <c r="C324">
        <v>-2.753053593463391E-2</v>
      </c>
    </row>
    <row r="325" spans="1:3" x14ac:dyDescent="0.2">
      <c r="A325">
        <v>301</v>
      </c>
      <c r="B325">
        <v>-3.8599937497715946E-3</v>
      </c>
      <c r="C325">
        <v>5.1084332004581352E-3</v>
      </c>
    </row>
    <row r="326" spans="1:3" x14ac:dyDescent="0.2">
      <c r="A326">
        <v>302</v>
      </c>
      <c r="B326">
        <v>-2.0319957318699292E-3</v>
      </c>
      <c r="C326">
        <v>3.2788437959633938E-2</v>
      </c>
    </row>
    <row r="327" spans="1:3" x14ac:dyDescent="0.2">
      <c r="A327">
        <v>303</v>
      </c>
      <c r="B327">
        <v>4.951319435644099E-3</v>
      </c>
      <c r="C327">
        <v>-8.7612609758224769E-2</v>
      </c>
    </row>
    <row r="328" spans="1:3" x14ac:dyDescent="0.2">
      <c r="A328">
        <v>304</v>
      </c>
      <c r="B328">
        <v>-5.020616890486681E-4</v>
      </c>
      <c r="C328">
        <v>6.6559078428948468E-3</v>
      </c>
    </row>
    <row r="329" spans="1:3" x14ac:dyDescent="0.2">
      <c r="A329">
        <v>305</v>
      </c>
      <c r="B329">
        <v>7.8965055617242035E-3</v>
      </c>
      <c r="C329">
        <v>5.2096543334265479E-3</v>
      </c>
    </row>
    <row r="330" spans="1:3" x14ac:dyDescent="0.2">
      <c r="A330">
        <v>306</v>
      </c>
      <c r="B330">
        <v>1.8267178028103497E-2</v>
      </c>
      <c r="C330">
        <v>4.5875007127329642E-3</v>
      </c>
    </row>
    <row r="331" spans="1:3" x14ac:dyDescent="0.2">
      <c r="A331">
        <v>307</v>
      </c>
      <c r="B331">
        <v>-4.8100512522502529E-3</v>
      </c>
      <c r="C331">
        <v>2.58893092623683E-2</v>
      </c>
    </row>
    <row r="332" spans="1:3" x14ac:dyDescent="0.2">
      <c r="A332">
        <v>308</v>
      </c>
      <c r="B332">
        <v>1.0064818215185903E-2</v>
      </c>
      <c r="C332">
        <v>-1.5845165035995177E-2</v>
      </c>
    </row>
    <row r="333" spans="1:3" x14ac:dyDescent="0.2">
      <c r="A333">
        <v>309</v>
      </c>
      <c r="B333">
        <v>2.1615651352943658E-3</v>
      </c>
      <c r="C333">
        <v>-1.7111731248251154E-2</v>
      </c>
    </row>
    <row r="334" spans="1:3" x14ac:dyDescent="0.2">
      <c r="A334">
        <v>310</v>
      </c>
      <c r="B334">
        <v>-4.4140177926857869E-3</v>
      </c>
      <c r="C334">
        <v>-1.4557314416420424E-2</v>
      </c>
    </row>
    <row r="335" spans="1:3" x14ac:dyDescent="0.2">
      <c r="A335">
        <v>311</v>
      </c>
      <c r="B335">
        <v>-4.1936801441199668E-3</v>
      </c>
      <c r="C335">
        <v>-2.2523877544618374E-3</v>
      </c>
    </row>
    <row r="336" spans="1:3" x14ac:dyDescent="0.2">
      <c r="A336">
        <v>312</v>
      </c>
      <c r="B336">
        <v>-1.9430824005794528E-4</v>
      </c>
      <c r="C336">
        <v>-8.4562107910838933E-3</v>
      </c>
    </row>
    <row r="337" spans="1:3" x14ac:dyDescent="0.2">
      <c r="A337">
        <v>313</v>
      </c>
      <c r="B337">
        <v>2.4578195676272481E-3</v>
      </c>
      <c r="C337">
        <v>3.2140827011336156E-3</v>
      </c>
    </row>
    <row r="338" spans="1:3" x14ac:dyDescent="0.2">
      <c r="A338">
        <v>314</v>
      </c>
      <c r="B338">
        <v>-2.5058784708787579E-3</v>
      </c>
      <c r="C338">
        <v>-1.9186095498752477E-2</v>
      </c>
    </row>
    <row r="339" spans="1:3" x14ac:dyDescent="0.2">
      <c r="A339">
        <v>315</v>
      </c>
      <c r="B339">
        <v>7.507823723899092E-3</v>
      </c>
      <c r="C339">
        <v>3.0978936854705874E-5</v>
      </c>
    </row>
    <row r="340" spans="1:3" x14ac:dyDescent="0.2">
      <c r="A340">
        <v>316</v>
      </c>
      <c r="B340">
        <v>1.5666309510928806E-2</v>
      </c>
      <c r="C340">
        <v>-3.1071239088393501E-2</v>
      </c>
    </row>
    <row r="341" spans="1:3" x14ac:dyDescent="0.2">
      <c r="A341">
        <v>317</v>
      </c>
      <c r="B341">
        <v>-7.0632054759827891E-3</v>
      </c>
      <c r="C341">
        <v>-1.4303126286216491E-3</v>
      </c>
    </row>
    <row r="342" spans="1:3" x14ac:dyDescent="0.2">
      <c r="A342">
        <v>318</v>
      </c>
      <c r="B342">
        <v>-1.2380610866035619E-3</v>
      </c>
      <c r="C342">
        <v>8.0009105004898821E-3</v>
      </c>
    </row>
    <row r="343" spans="1:3" x14ac:dyDescent="0.2">
      <c r="A343">
        <v>319</v>
      </c>
      <c r="B343">
        <v>9.1362054073964149E-3</v>
      </c>
      <c r="C343">
        <v>-2.033190625826968E-2</v>
      </c>
    </row>
    <row r="344" spans="1:3" x14ac:dyDescent="0.2">
      <c r="A344">
        <v>320</v>
      </c>
      <c r="B344">
        <v>-9.2433338216518102E-3</v>
      </c>
      <c r="C344">
        <v>-3.4687825598637999E-2</v>
      </c>
    </row>
    <row r="345" spans="1:3" x14ac:dyDescent="0.2">
      <c r="A345">
        <v>321</v>
      </c>
      <c r="B345">
        <v>-1.0683490170274234E-2</v>
      </c>
      <c r="C345">
        <v>1.8262836451657473E-2</v>
      </c>
    </row>
    <row r="346" spans="1:3" x14ac:dyDescent="0.2">
      <c r="A346">
        <v>322</v>
      </c>
      <c r="B346">
        <v>-6.4767858236764271E-3</v>
      </c>
      <c r="C346">
        <v>5.0663485881333554E-3</v>
      </c>
    </row>
    <row r="347" spans="1:3" x14ac:dyDescent="0.2">
      <c r="A347">
        <v>323</v>
      </c>
      <c r="B347">
        <v>1.3673054973281651E-3</v>
      </c>
      <c r="C347">
        <v>1.3227798080826369E-2</v>
      </c>
    </row>
    <row r="348" spans="1:3" x14ac:dyDescent="0.2">
      <c r="A348">
        <v>324</v>
      </c>
      <c r="B348">
        <v>2.3044253893016778E-3</v>
      </c>
      <c r="C348">
        <v>2.9714136095617013E-2</v>
      </c>
    </row>
    <row r="349" spans="1:3" x14ac:dyDescent="0.2">
      <c r="A349">
        <v>325</v>
      </c>
      <c r="B349">
        <v>-8.4713681719039984E-4</v>
      </c>
      <c r="C349">
        <v>-1.57895538302915E-2</v>
      </c>
    </row>
    <row r="350" spans="1:3" x14ac:dyDescent="0.2">
      <c r="A350">
        <v>326</v>
      </c>
      <c r="B350">
        <v>-7.1770036372486934E-3</v>
      </c>
      <c r="C350">
        <v>9.0059931205591255E-3</v>
      </c>
    </row>
    <row r="351" spans="1:3" x14ac:dyDescent="0.2">
      <c r="A351">
        <v>327</v>
      </c>
      <c r="B351">
        <v>2.2809177079961794E-3</v>
      </c>
      <c r="C351">
        <v>8.2165720227204073E-3</v>
      </c>
    </row>
    <row r="352" spans="1:3" x14ac:dyDescent="0.2">
      <c r="A352">
        <v>328</v>
      </c>
      <c r="B352">
        <v>6.9634908273093394E-4</v>
      </c>
      <c r="C352">
        <v>-1.3794813400707408E-2</v>
      </c>
    </row>
    <row r="353" spans="1:3" x14ac:dyDescent="0.2">
      <c r="A353">
        <v>329</v>
      </c>
      <c r="B353">
        <v>-1.0588468531405061E-2</v>
      </c>
      <c r="C353">
        <v>2.2945447936439364E-2</v>
      </c>
    </row>
    <row r="354" spans="1:3" x14ac:dyDescent="0.2">
      <c r="A354">
        <v>330</v>
      </c>
      <c r="B354">
        <v>-1.9512112420559308E-2</v>
      </c>
      <c r="C354">
        <v>-5.8043432756433241E-3</v>
      </c>
    </row>
    <row r="355" spans="1:3" x14ac:dyDescent="0.2">
      <c r="A355">
        <v>331</v>
      </c>
      <c r="B355">
        <v>-4.6466147424457363E-3</v>
      </c>
      <c r="C355">
        <v>-1.3906260953287036E-2</v>
      </c>
    </row>
    <row r="356" spans="1:3" x14ac:dyDescent="0.2">
      <c r="A356">
        <v>332</v>
      </c>
      <c r="B356">
        <v>-1.9017397944806294E-2</v>
      </c>
      <c r="C356">
        <v>-1.2646118123246716E-2</v>
      </c>
    </row>
    <row r="357" spans="1:3" x14ac:dyDescent="0.2">
      <c r="A357">
        <v>333</v>
      </c>
      <c r="B357">
        <v>6.287563636556753E-3</v>
      </c>
      <c r="C357">
        <v>-1.6048422592144812E-2</v>
      </c>
    </row>
    <row r="358" spans="1:3" x14ac:dyDescent="0.2">
      <c r="A358">
        <v>334</v>
      </c>
      <c r="B358">
        <v>2.0838573542092974E-2</v>
      </c>
      <c r="C358">
        <v>-1.6402890939825852E-2</v>
      </c>
    </row>
    <row r="359" spans="1:3" x14ac:dyDescent="0.2">
      <c r="A359">
        <v>335</v>
      </c>
      <c r="B359">
        <v>1.4871277664379243E-2</v>
      </c>
      <c r="C359">
        <v>-1.5096363101316235E-4</v>
      </c>
    </row>
    <row r="360" spans="1:3" x14ac:dyDescent="0.2">
      <c r="A360">
        <v>336</v>
      </c>
      <c r="B360">
        <v>4.141625531184941E-3</v>
      </c>
      <c r="C360">
        <v>-9.9443334615524938E-3</v>
      </c>
    </row>
    <row r="361" spans="1:3" x14ac:dyDescent="0.2">
      <c r="A361">
        <v>337</v>
      </c>
      <c r="B361">
        <v>-6.3207102222308589E-3</v>
      </c>
      <c r="C361">
        <v>-4.8660602057847262E-3</v>
      </c>
    </row>
    <row r="362" spans="1:3" x14ac:dyDescent="0.2">
      <c r="A362">
        <v>338</v>
      </c>
      <c r="B362">
        <v>-7.2321567947096323E-3</v>
      </c>
      <c r="C362">
        <v>-2.8675369029195773E-2</v>
      </c>
    </row>
    <row r="363" spans="1:3" x14ac:dyDescent="0.2">
      <c r="A363">
        <v>339</v>
      </c>
      <c r="B363">
        <v>-2.2573230724671389E-3</v>
      </c>
      <c r="C363">
        <v>3.7879353173649747E-3</v>
      </c>
    </row>
    <row r="364" spans="1:3" x14ac:dyDescent="0.2">
      <c r="A364">
        <v>340</v>
      </c>
      <c r="B364">
        <v>-1.1673685886749326E-3</v>
      </c>
      <c r="C364">
        <v>-7.4928453695521776E-3</v>
      </c>
    </row>
    <row r="365" spans="1:3" x14ac:dyDescent="0.2">
      <c r="A365">
        <v>341</v>
      </c>
      <c r="B365">
        <v>-1.460420928503545E-2</v>
      </c>
      <c r="C365">
        <v>-5.4369006841321031E-3</v>
      </c>
    </row>
    <row r="366" spans="1:3" x14ac:dyDescent="0.2">
      <c r="A366">
        <v>342</v>
      </c>
      <c r="B366">
        <v>-6.4354437592432029E-3</v>
      </c>
      <c r="C366">
        <v>-1.2966758652922555E-2</v>
      </c>
    </row>
    <row r="367" spans="1:3" x14ac:dyDescent="0.2">
      <c r="A367">
        <v>343</v>
      </c>
      <c r="B367">
        <v>3.5081140427687088E-3</v>
      </c>
      <c r="C367">
        <v>5.0480356898516196E-3</v>
      </c>
    </row>
    <row r="368" spans="1:3" x14ac:dyDescent="0.2">
      <c r="A368">
        <v>344</v>
      </c>
      <c r="B368">
        <v>1.6300588516212543E-2</v>
      </c>
      <c r="C368">
        <v>-1.1528584274431002E-2</v>
      </c>
    </row>
    <row r="369" spans="1:3" x14ac:dyDescent="0.2">
      <c r="A369">
        <v>345</v>
      </c>
      <c r="B369">
        <v>2.1080596650600778E-2</v>
      </c>
      <c r="C369">
        <v>6.3600365947817858E-3</v>
      </c>
    </row>
    <row r="370" spans="1:3" x14ac:dyDescent="0.2">
      <c r="A370">
        <v>346</v>
      </c>
      <c r="B370">
        <v>6.9868723339838344E-3</v>
      </c>
      <c r="C370">
        <v>-8.0140937001882302E-3</v>
      </c>
    </row>
    <row r="371" spans="1:3" x14ac:dyDescent="0.2">
      <c r="A371">
        <v>347</v>
      </c>
      <c r="B371">
        <v>-1.0144042257850913E-2</v>
      </c>
      <c r="C371">
        <v>-1.3873409176344727E-4</v>
      </c>
    </row>
    <row r="372" spans="1:3" x14ac:dyDescent="0.2">
      <c r="A372">
        <v>348</v>
      </c>
      <c r="B372">
        <v>-6.6325648949950829E-3</v>
      </c>
      <c r="C372">
        <v>9.1827918070939811E-4</v>
      </c>
    </row>
    <row r="373" spans="1:3" x14ac:dyDescent="0.2">
      <c r="A373">
        <v>349</v>
      </c>
      <c r="B373">
        <v>-1.3983475440441326E-2</v>
      </c>
      <c r="C373">
        <v>7.1914169242449314E-3</v>
      </c>
    </row>
    <row r="374" spans="1:3" x14ac:dyDescent="0.2">
      <c r="A374">
        <v>350</v>
      </c>
      <c r="B374">
        <v>-2.9339512935061905E-3</v>
      </c>
      <c r="C374">
        <v>2.4501547295610354E-2</v>
      </c>
    </row>
    <row r="375" spans="1:3" x14ac:dyDescent="0.2">
      <c r="A375">
        <v>351</v>
      </c>
      <c r="B375">
        <v>-4.5360010467501554E-3</v>
      </c>
      <c r="C375">
        <v>-9.3671915382139582E-3</v>
      </c>
    </row>
    <row r="376" spans="1:3" x14ac:dyDescent="0.2">
      <c r="A376">
        <v>352</v>
      </c>
      <c r="B376">
        <v>-3.1212785903254651E-3</v>
      </c>
      <c r="C376">
        <v>-4.189426370509888E-3</v>
      </c>
    </row>
    <row r="377" spans="1:3" x14ac:dyDescent="0.2">
      <c r="A377">
        <v>353</v>
      </c>
      <c r="B377">
        <v>-4.3708029347887482E-3</v>
      </c>
      <c r="C377">
        <v>5.948919715430389E-3</v>
      </c>
    </row>
    <row r="378" spans="1:3" x14ac:dyDescent="0.2">
      <c r="A378">
        <v>354</v>
      </c>
      <c r="B378">
        <v>3.5996232080641199E-3</v>
      </c>
      <c r="C378">
        <v>1.2681889396978016E-2</v>
      </c>
    </row>
    <row r="379" spans="1:3" x14ac:dyDescent="0.2">
      <c r="A379">
        <v>355</v>
      </c>
      <c r="B379">
        <v>1.4124526792196157E-3</v>
      </c>
      <c r="C379">
        <v>-5.5468196042843098E-3</v>
      </c>
    </row>
    <row r="380" spans="1:3" x14ac:dyDescent="0.2">
      <c r="A380">
        <v>356</v>
      </c>
      <c r="B380">
        <v>1.3791698589545104E-2</v>
      </c>
      <c r="C380">
        <v>1.2576008396193578E-3</v>
      </c>
    </row>
    <row r="381" spans="1:3" x14ac:dyDescent="0.2">
      <c r="A381">
        <v>357</v>
      </c>
      <c r="B381">
        <v>-1.2166262450031544E-2</v>
      </c>
      <c r="C381">
        <v>-1.0367620027512507E-4</v>
      </c>
    </row>
    <row r="382" spans="1:3" x14ac:dyDescent="0.2">
      <c r="A382">
        <v>358</v>
      </c>
      <c r="B382">
        <v>-7.2010387642292084E-3</v>
      </c>
      <c r="C382">
        <v>-3.1509281094767591E-3</v>
      </c>
    </row>
    <row r="383" spans="1:3" x14ac:dyDescent="0.2">
      <c r="A383">
        <v>359</v>
      </c>
      <c r="B383">
        <v>-3.2057713506265604E-3</v>
      </c>
      <c r="C383">
        <v>1.157397218744665E-2</v>
      </c>
    </row>
    <row r="384" spans="1:3" x14ac:dyDescent="0.2">
      <c r="A384">
        <v>360</v>
      </c>
      <c r="B384">
        <v>1.9521268901903713E-2</v>
      </c>
      <c r="C384">
        <v>-1.0703841516011692E-2</v>
      </c>
    </row>
    <row r="385" spans="1:3" x14ac:dyDescent="0.2">
      <c r="A385">
        <v>361</v>
      </c>
      <c r="B385">
        <v>1.1048995357330542E-3</v>
      </c>
      <c r="C385">
        <v>2.4940721866319993E-3</v>
      </c>
    </row>
    <row r="386" spans="1:3" x14ac:dyDescent="0.2">
      <c r="A386">
        <v>362</v>
      </c>
      <c r="B386">
        <v>-1.0571633511493523E-2</v>
      </c>
      <c r="C386">
        <v>2.6965076134444356E-2</v>
      </c>
    </row>
    <row r="387" spans="1:3" x14ac:dyDescent="0.2">
      <c r="A387">
        <v>363</v>
      </c>
      <c r="B387">
        <v>-3.2912476189610111E-3</v>
      </c>
      <c r="C387">
        <v>-5.7813330262002638E-3</v>
      </c>
    </row>
    <row r="388" spans="1:3" x14ac:dyDescent="0.2">
      <c r="A388">
        <v>364</v>
      </c>
      <c r="B388">
        <v>1.291798851251191E-2</v>
      </c>
      <c r="C388">
        <v>-7.1046053692704579E-4</v>
      </c>
    </row>
    <row r="389" spans="1:3" x14ac:dyDescent="0.2">
      <c r="A389">
        <v>365</v>
      </c>
      <c r="B389">
        <v>9.0774381532151716E-3</v>
      </c>
      <c r="C389">
        <v>-3.2212022561919559E-5</v>
      </c>
    </row>
    <row r="390" spans="1:3" x14ac:dyDescent="0.2">
      <c r="A390">
        <v>366</v>
      </c>
      <c r="B390">
        <v>3.3143766556321209E-4</v>
      </c>
      <c r="C390">
        <v>3.6526260794568009E-3</v>
      </c>
    </row>
    <row r="391" spans="1:3" x14ac:dyDescent="0.2">
      <c r="A391">
        <v>367</v>
      </c>
      <c r="B391">
        <v>3.2959567832740551E-3</v>
      </c>
      <c r="C391">
        <v>4.1445194072020648E-3</v>
      </c>
    </row>
    <row r="392" spans="1:3" x14ac:dyDescent="0.2">
      <c r="A392">
        <v>368</v>
      </c>
      <c r="B392">
        <v>-7.7458710793494286E-3</v>
      </c>
      <c r="C392">
        <v>-9.487019122521468E-3</v>
      </c>
    </row>
    <row r="393" spans="1:3" x14ac:dyDescent="0.2">
      <c r="A393">
        <v>369</v>
      </c>
      <c r="B393">
        <v>-6.6352163988907271E-3</v>
      </c>
      <c r="C393">
        <v>2.1261983628185904E-3</v>
      </c>
    </row>
    <row r="394" spans="1:3" x14ac:dyDescent="0.2">
      <c r="A394">
        <v>370</v>
      </c>
      <c r="B394">
        <v>5.7167590614162949E-3</v>
      </c>
      <c r="C394">
        <v>8.2576736032497367E-4</v>
      </c>
    </row>
    <row r="395" spans="1:3" x14ac:dyDescent="0.2">
      <c r="A395">
        <v>371</v>
      </c>
      <c r="B395">
        <v>5.9609295403589679E-3</v>
      </c>
      <c r="C395">
        <v>1.8539070459640955E-2</v>
      </c>
    </row>
    <row r="396" spans="1:3" x14ac:dyDescent="0.2">
      <c r="A396">
        <v>372</v>
      </c>
      <c r="B396">
        <v>-1.4629871436914643E-3</v>
      </c>
      <c r="C396">
        <v>1.6104275577073637E-2</v>
      </c>
    </row>
    <row r="397" spans="1:3" x14ac:dyDescent="0.2">
      <c r="A397">
        <v>373</v>
      </c>
      <c r="B397">
        <v>-8.2063485932036865E-4</v>
      </c>
      <c r="C397">
        <v>-1.1204377165691656E-2</v>
      </c>
    </row>
    <row r="398" spans="1:3" x14ac:dyDescent="0.2">
      <c r="A398">
        <v>374</v>
      </c>
      <c r="B398">
        <v>2.1265839054470799E-4</v>
      </c>
      <c r="C398">
        <v>2.315637763671919E-2</v>
      </c>
    </row>
    <row r="399" spans="1:3" x14ac:dyDescent="0.2">
      <c r="A399">
        <v>375</v>
      </c>
      <c r="B399">
        <v>5.1738666808597488E-4</v>
      </c>
      <c r="C399">
        <v>-5.7504979906358999E-3</v>
      </c>
    </row>
    <row r="400" spans="1:3" x14ac:dyDescent="0.2">
      <c r="A400">
        <v>376</v>
      </c>
      <c r="B400">
        <v>2.3790151262962286E-3</v>
      </c>
      <c r="C400">
        <v>-4.7702155088883234E-3</v>
      </c>
    </row>
    <row r="401" spans="1:3" x14ac:dyDescent="0.2">
      <c r="A401">
        <v>377</v>
      </c>
      <c r="B401">
        <v>-1.0194753050002399E-2</v>
      </c>
      <c r="C401">
        <v>1.4988616904269007E-2</v>
      </c>
    </row>
    <row r="402" spans="1:3" x14ac:dyDescent="0.2">
      <c r="A402">
        <v>378</v>
      </c>
      <c r="B402">
        <v>-4.4677164228676134E-3</v>
      </c>
      <c r="C402">
        <v>5.8990141327911619E-3</v>
      </c>
    </row>
    <row r="403" spans="1:3" x14ac:dyDescent="0.2">
      <c r="A403">
        <v>379</v>
      </c>
      <c r="B403">
        <v>-9.1201657775611712E-5</v>
      </c>
      <c r="C403">
        <v>-3.373442959520187E-2</v>
      </c>
    </row>
    <row r="404" spans="1:3" x14ac:dyDescent="0.2">
      <c r="A404">
        <v>380</v>
      </c>
      <c r="B404">
        <v>1.1866877110199099E-2</v>
      </c>
      <c r="C404">
        <v>-1.5118475244004174E-3</v>
      </c>
    </row>
    <row r="405" spans="1:3" x14ac:dyDescent="0.2">
      <c r="A405">
        <v>381</v>
      </c>
      <c r="B405">
        <v>1.0669152392121517E-2</v>
      </c>
      <c r="C405">
        <v>-1.7989796608812517E-2</v>
      </c>
    </row>
    <row r="406" spans="1:3" x14ac:dyDescent="0.2">
      <c r="A406">
        <v>382</v>
      </c>
      <c r="B406">
        <v>-4.1199197788985781E-3</v>
      </c>
      <c r="C406">
        <v>-2.7630694049755895E-3</v>
      </c>
    </row>
    <row r="407" spans="1:3" x14ac:dyDescent="0.2">
      <c r="A407">
        <v>383</v>
      </c>
      <c r="B407">
        <v>-3.3915291208874146E-3</v>
      </c>
      <c r="C407">
        <v>-2.2351045136538308E-2</v>
      </c>
    </row>
    <row r="408" spans="1:3" x14ac:dyDescent="0.2">
      <c r="A408">
        <v>384</v>
      </c>
      <c r="B408">
        <v>3.2473810556957871E-3</v>
      </c>
      <c r="C408">
        <v>3.0952951340991854E-4</v>
      </c>
    </row>
    <row r="409" spans="1:3" x14ac:dyDescent="0.2">
      <c r="A409">
        <v>385</v>
      </c>
      <c r="B409">
        <v>1.3535644907931889E-3</v>
      </c>
      <c r="C409">
        <v>9.2793469016119179E-3</v>
      </c>
    </row>
    <row r="410" spans="1:3" x14ac:dyDescent="0.2">
      <c r="A410">
        <v>386</v>
      </c>
      <c r="B410">
        <v>1.5868252513406077E-3</v>
      </c>
      <c r="C410">
        <v>-2.0878272553487018E-3</v>
      </c>
    </row>
    <row r="411" spans="1:3" x14ac:dyDescent="0.2">
      <c r="A411">
        <v>387</v>
      </c>
      <c r="B411">
        <v>5.2084209580439958E-3</v>
      </c>
      <c r="C411">
        <v>-6.712180356540115E-3</v>
      </c>
    </row>
    <row r="412" spans="1:3" x14ac:dyDescent="0.2">
      <c r="A412">
        <v>388</v>
      </c>
      <c r="B412">
        <v>7.5781818109391965E-4</v>
      </c>
      <c r="C412">
        <v>-8.2879386630217364E-3</v>
      </c>
    </row>
    <row r="413" spans="1:3" x14ac:dyDescent="0.2">
      <c r="A413">
        <v>389</v>
      </c>
      <c r="B413">
        <v>-8.6224171241331684E-4</v>
      </c>
      <c r="C413">
        <v>2.6153086426626771E-2</v>
      </c>
    </row>
    <row r="414" spans="1:3" x14ac:dyDescent="0.2">
      <c r="A414">
        <v>390</v>
      </c>
      <c r="B414">
        <v>3.2127548980665963E-3</v>
      </c>
      <c r="C414">
        <v>1.7206442139216338E-3</v>
      </c>
    </row>
    <row r="415" spans="1:3" x14ac:dyDescent="0.2">
      <c r="A415">
        <v>391</v>
      </c>
      <c r="B415">
        <v>-3.1761181698998922E-3</v>
      </c>
      <c r="C415">
        <v>-1.0078668280762825E-2</v>
      </c>
    </row>
    <row r="416" spans="1:3" x14ac:dyDescent="0.2">
      <c r="A416">
        <v>392</v>
      </c>
      <c r="B416">
        <v>-6.8560758450960579E-3</v>
      </c>
      <c r="C416">
        <v>7.8511007207179278E-3</v>
      </c>
    </row>
    <row r="417" spans="1:3" x14ac:dyDescent="0.2">
      <c r="A417">
        <v>393</v>
      </c>
      <c r="B417">
        <v>2.8267783427294618E-3</v>
      </c>
      <c r="C417">
        <v>-2.3297604500854257E-3</v>
      </c>
    </row>
    <row r="418" spans="1:3" x14ac:dyDescent="0.2">
      <c r="A418">
        <v>394</v>
      </c>
      <c r="B418">
        <v>-6.0378126035351507E-3</v>
      </c>
      <c r="C418">
        <v>-6.3814621108215317E-3</v>
      </c>
    </row>
    <row r="419" spans="1:3" x14ac:dyDescent="0.2">
      <c r="A419">
        <v>395</v>
      </c>
      <c r="B419">
        <v>-1.5736605362521847E-2</v>
      </c>
      <c r="C419">
        <v>-7.9052457441179357E-3</v>
      </c>
    </row>
    <row r="420" spans="1:3" x14ac:dyDescent="0.2">
      <c r="A420">
        <v>396</v>
      </c>
      <c r="B420">
        <v>3.5698053780641877E-3</v>
      </c>
      <c r="C420">
        <v>1.858372373064265E-2</v>
      </c>
    </row>
    <row r="421" spans="1:3" x14ac:dyDescent="0.2">
      <c r="A421">
        <v>397</v>
      </c>
      <c r="B421">
        <v>-7.0328951759620955E-4</v>
      </c>
      <c r="C421">
        <v>-6.857194353371461E-3</v>
      </c>
    </row>
    <row r="422" spans="1:3" x14ac:dyDescent="0.2">
      <c r="A422">
        <v>398</v>
      </c>
      <c r="B422">
        <v>-2.7926599129459873E-3</v>
      </c>
      <c r="C422">
        <v>-1.4474988639618757E-2</v>
      </c>
    </row>
    <row r="423" spans="1:3" x14ac:dyDescent="0.2">
      <c r="A423">
        <v>399</v>
      </c>
      <c r="B423">
        <v>-7.5634475612294154E-3</v>
      </c>
      <c r="C423">
        <v>-2.2410712645489026E-2</v>
      </c>
    </row>
    <row r="424" spans="1:3" x14ac:dyDescent="0.2">
      <c r="A424">
        <v>400</v>
      </c>
      <c r="B424">
        <v>-1.0653574091080873E-2</v>
      </c>
      <c r="C424">
        <v>5.3103812943988866E-4</v>
      </c>
    </row>
    <row r="425" spans="1:3" x14ac:dyDescent="0.2">
      <c r="A425">
        <v>401</v>
      </c>
      <c r="B425">
        <v>-1.3416003485677352E-2</v>
      </c>
      <c r="C425">
        <v>-3.9324824333414332E-5</v>
      </c>
    </row>
    <row r="426" spans="1:3" x14ac:dyDescent="0.2">
      <c r="A426">
        <v>402</v>
      </c>
      <c r="B426">
        <v>-3.1236173043933738E-3</v>
      </c>
      <c r="C426">
        <v>2.0325098303071993E-3</v>
      </c>
    </row>
    <row r="427" spans="1:3" x14ac:dyDescent="0.2">
      <c r="A427">
        <v>403</v>
      </c>
      <c r="B427">
        <v>-1.3446017849188372E-2</v>
      </c>
      <c r="C427">
        <v>7.4383717541583643E-3</v>
      </c>
    </row>
    <row r="428" spans="1:3" x14ac:dyDescent="0.2">
      <c r="A428">
        <v>404</v>
      </c>
      <c r="B428">
        <v>-1.3233793581137745E-3</v>
      </c>
      <c r="C428">
        <v>-8.7442283968837647E-4</v>
      </c>
    </row>
    <row r="429" spans="1:3" x14ac:dyDescent="0.2">
      <c r="A429">
        <v>405</v>
      </c>
      <c r="B429">
        <v>1.7174351438169659E-3</v>
      </c>
      <c r="C429">
        <v>9.2957807152138326E-3</v>
      </c>
    </row>
    <row r="430" spans="1:3" x14ac:dyDescent="0.2">
      <c r="A430">
        <v>406</v>
      </c>
      <c r="B430">
        <v>8.9716636043789075E-3</v>
      </c>
      <c r="C430">
        <v>1.9350776482767042E-2</v>
      </c>
    </row>
    <row r="431" spans="1:3" x14ac:dyDescent="0.2">
      <c r="A431">
        <v>407</v>
      </c>
      <c r="B431">
        <v>-1.0482763680438833E-2</v>
      </c>
      <c r="C431">
        <v>4.1268314770491372E-3</v>
      </c>
    </row>
    <row r="432" spans="1:3" x14ac:dyDescent="0.2">
      <c r="A432">
        <v>408</v>
      </c>
      <c r="B432">
        <v>-1.0319332749597964E-2</v>
      </c>
      <c r="C432">
        <v>-7.8043346278007485E-3</v>
      </c>
    </row>
    <row r="433" spans="1:3" x14ac:dyDescent="0.2">
      <c r="A433">
        <v>409</v>
      </c>
      <c r="B433">
        <v>1.8140135859751171E-2</v>
      </c>
      <c r="C433">
        <v>1.403838081616874E-3</v>
      </c>
    </row>
    <row r="434" spans="1:3" x14ac:dyDescent="0.2">
      <c r="A434">
        <v>410</v>
      </c>
      <c r="B434">
        <v>-6.4617508610489652E-3</v>
      </c>
      <c r="C434">
        <v>6.0445586637380977E-4</v>
      </c>
    </row>
    <row r="435" spans="1:3" x14ac:dyDescent="0.2">
      <c r="A435">
        <v>411</v>
      </c>
      <c r="B435">
        <v>1.9254796910158294E-2</v>
      </c>
      <c r="C435">
        <v>-7.4711868405279332E-3</v>
      </c>
    </row>
    <row r="436" spans="1:3" x14ac:dyDescent="0.2">
      <c r="A436">
        <v>412</v>
      </c>
      <c r="B436">
        <v>-1.1002929029969284E-2</v>
      </c>
      <c r="C436">
        <v>7.297264657285309E-3</v>
      </c>
    </row>
    <row r="437" spans="1:3" x14ac:dyDescent="0.2">
      <c r="A437">
        <v>413</v>
      </c>
      <c r="B437">
        <v>1.9036206323111531E-2</v>
      </c>
      <c r="C437">
        <v>-2.8069150000051047E-2</v>
      </c>
    </row>
    <row r="438" spans="1:3" x14ac:dyDescent="0.2">
      <c r="A438">
        <v>414</v>
      </c>
      <c r="B438">
        <v>6.1947914135549419E-3</v>
      </c>
      <c r="C438">
        <v>2.3952494033251115E-4</v>
      </c>
    </row>
    <row r="439" spans="1:3" x14ac:dyDescent="0.2">
      <c r="A439">
        <v>415</v>
      </c>
      <c r="B439">
        <v>2.8321693134918811E-2</v>
      </c>
      <c r="C439">
        <v>-1.1506755536720564E-3</v>
      </c>
    </row>
    <row r="440" spans="1:3" x14ac:dyDescent="0.2">
      <c r="A440">
        <v>416</v>
      </c>
      <c r="B440">
        <v>-1.99166099074298E-3</v>
      </c>
      <c r="C440">
        <v>3.3630665140120544E-2</v>
      </c>
    </row>
    <row r="441" spans="1:3" x14ac:dyDescent="0.2">
      <c r="A441">
        <v>417</v>
      </c>
      <c r="B441">
        <v>9.6631118779734373E-3</v>
      </c>
      <c r="C441">
        <v>2.4032531295679616E-3</v>
      </c>
    </row>
    <row r="442" spans="1:3" x14ac:dyDescent="0.2">
      <c r="A442">
        <v>418</v>
      </c>
      <c r="B442">
        <v>-6.4034130705762585E-3</v>
      </c>
      <c r="C442">
        <v>5.4098710934277448E-3</v>
      </c>
    </row>
    <row r="443" spans="1:3" x14ac:dyDescent="0.2">
      <c r="A443">
        <v>419</v>
      </c>
      <c r="B443">
        <v>-7.2220913339222934E-3</v>
      </c>
      <c r="C443">
        <v>-2.4602871371199569E-2</v>
      </c>
    </row>
    <row r="444" spans="1:3" x14ac:dyDescent="0.2">
      <c r="A444">
        <v>420</v>
      </c>
      <c r="B444">
        <v>-4.2757548585916827E-3</v>
      </c>
      <c r="C444">
        <v>6.843808274102762E-3</v>
      </c>
    </row>
    <row r="445" spans="1:3" x14ac:dyDescent="0.2">
      <c r="A445">
        <v>421</v>
      </c>
      <c r="B445">
        <v>3.5961310805785263E-3</v>
      </c>
      <c r="C445">
        <v>2.970304924729044E-2</v>
      </c>
    </row>
    <row r="446" spans="1:3" x14ac:dyDescent="0.2">
      <c r="A446">
        <v>422</v>
      </c>
      <c r="B446">
        <v>-4.3777280148178093E-3</v>
      </c>
      <c r="C446">
        <v>2.6688089938466754E-2</v>
      </c>
    </row>
    <row r="447" spans="1:3" x14ac:dyDescent="0.2">
      <c r="A447">
        <v>423</v>
      </c>
      <c r="B447">
        <v>-6.7270581952277525E-3</v>
      </c>
      <c r="C447">
        <v>2.6125700290281027E-2</v>
      </c>
    </row>
    <row r="448" spans="1:3" x14ac:dyDescent="0.2">
      <c r="A448">
        <v>424</v>
      </c>
      <c r="B448">
        <v>1.5610791509452059E-2</v>
      </c>
      <c r="C448">
        <v>-1.5135054116492899E-2</v>
      </c>
    </row>
    <row r="449" spans="1:3" x14ac:dyDescent="0.2">
      <c r="A449">
        <v>425</v>
      </c>
      <c r="B449">
        <v>-3.6218261348702975E-3</v>
      </c>
      <c r="C449">
        <v>-2.5384355510398339E-2</v>
      </c>
    </row>
    <row r="450" spans="1:3" x14ac:dyDescent="0.2">
      <c r="A450">
        <v>426</v>
      </c>
      <c r="B450">
        <v>3.8996369584659535E-3</v>
      </c>
      <c r="C450">
        <v>-9.2865125706110552E-3</v>
      </c>
    </row>
    <row r="451" spans="1:3" x14ac:dyDescent="0.2">
      <c r="A451">
        <v>427</v>
      </c>
      <c r="B451">
        <v>4.4067393419684386E-3</v>
      </c>
      <c r="C451">
        <v>1.4303255734348774E-2</v>
      </c>
    </row>
    <row r="452" spans="1:3" x14ac:dyDescent="0.2">
      <c r="A452">
        <v>428</v>
      </c>
      <c r="B452">
        <v>1.0938426126323715E-3</v>
      </c>
      <c r="C452">
        <v>-6.1051733472043289E-4</v>
      </c>
    </row>
    <row r="453" spans="1:3" x14ac:dyDescent="0.2">
      <c r="A453">
        <v>429</v>
      </c>
      <c r="B453">
        <v>-2.7801989337691564E-4</v>
      </c>
      <c r="C453">
        <v>-1.2282366580052941E-2</v>
      </c>
    </row>
    <row r="454" spans="1:3" x14ac:dyDescent="0.2">
      <c r="A454">
        <v>430</v>
      </c>
      <c r="B454">
        <v>1.1221096084572679E-2</v>
      </c>
      <c r="C454">
        <v>1.0098236805936613E-3</v>
      </c>
    </row>
    <row r="455" spans="1:3" x14ac:dyDescent="0.2">
      <c r="A455">
        <v>431</v>
      </c>
      <c r="B455">
        <v>-1.0431057381335927E-2</v>
      </c>
      <c r="C455">
        <v>-2.8234964851626888E-2</v>
      </c>
    </row>
    <row r="456" spans="1:3" x14ac:dyDescent="0.2">
      <c r="A456">
        <v>432</v>
      </c>
      <c r="B456">
        <v>1.137763115531246E-2</v>
      </c>
      <c r="C456">
        <v>2.6997946868193221E-3</v>
      </c>
    </row>
    <row r="457" spans="1:3" x14ac:dyDescent="0.2">
      <c r="A457">
        <v>433</v>
      </c>
      <c r="B457">
        <v>-2.5609292891962854E-3</v>
      </c>
      <c r="C457">
        <v>5.1643725521223968E-2</v>
      </c>
    </row>
    <row r="458" spans="1:3" x14ac:dyDescent="0.2">
      <c r="A458">
        <v>434</v>
      </c>
      <c r="B458">
        <v>2.52391584436844E-3</v>
      </c>
      <c r="C458">
        <v>4.5649310365388652E-3</v>
      </c>
    </row>
    <row r="459" spans="1:3" x14ac:dyDescent="0.2">
      <c r="A459">
        <v>435</v>
      </c>
      <c r="B459">
        <v>1.0474163064631843E-2</v>
      </c>
      <c r="C459">
        <v>5.0115244060392906E-3</v>
      </c>
    </row>
    <row r="460" spans="1:3" x14ac:dyDescent="0.2">
      <c r="A460">
        <v>436</v>
      </c>
      <c r="B460">
        <v>7.1037966273503911E-3</v>
      </c>
      <c r="C460">
        <v>-2.9448317474982718E-3</v>
      </c>
    </row>
    <row r="461" spans="1:3" x14ac:dyDescent="0.2">
      <c r="A461">
        <v>437</v>
      </c>
      <c r="B461">
        <v>-4.6960651286941432E-3</v>
      </c>
      <c r="C461">
        <v>-7.2689601819363927E-3</v>
      </c>
    </row>
    <row r="462" spans="1:3" x14ac:dyDescent="0.2">
      <c r="A462">
        <v>438</v>
      </c>
      <c r="B462">
        <v>5.1398964985577391E-3</v>
      </c>
      <c r="C462">
        <v>1.7216880399439489E-2</v>
      </c>
    </row>
    <row r="463" spans="1:3" x14ac:dyDescent="0.2">
      <c r="A463">
        <v>439</v>
      </c>
      <c r="B463">
        <v>3.9927512735276451E-3</v>
      </c>
      <c r="C463">
        <v>9.2190938289780124E-3</v>
      </c>
    </row>
    <row r="464" spans="1:3" x14ac:dyDescent="0.2">
      <c r="A464">
        <v>440</v>
      </c>
      <c r="B464">
        <v>-7.2604793766115313E-3</v>
      </c>
      <c r="C464">
        <v>2.9292853477331047E-2</v>
      </c>
    </row>
    <row r="465" spans="1:3" x14ac:dyDescent="0.2">
      <c r="A465">
        <v>441</v>
      </c>
      <c r="B465">
        <v>-3.2984023708034359E-3</v>
      </c>
      <c r="C465">
        <v>-1.5619327501611862E-2</v>
      </c>
    </row>
    <row r="466" spans="1:3" x14ac:dyDescent="0.2">
      <c r="A466">
        <v>442</v>
      </c>
      <c r="B466">
        <v>-4.0917645417654237E-3</v>
      </c>
      <c r="C466">
        <v>-7.5674282833467534E-3</v>
      </c>
    </row>
    <row r="467" spans="1:3" x14ac:dyDescent="0.2">
      <c r="A467">
        <v>443</v>
      </c>
      <c r="B467">
        <v>2.1205602220386813E-3</v>
      </c>
      <c r="C467">
        <v>-1.3009852418045871E-2</v>
      </c>
    </row>
    <row r="468" spans="1:3" x14ac:dyDescent="0.2">
      <c r="A468">
        <v>444</v>
      </c>
      <c r="B468">
        <v>1.2638065348192799E-3</v>
      </c>
      <c r="C468">
        <v>-1.722522131149627E-3</v>
      </c>
    </row>
    <row r="469" spans="1:3" x14ac:dyDescent="0.2">
      <c r="A469">
        <v>445</v>
      </c>
      <c r="B469">
        <v>-3.7480356587050742E-3</v>
      </c>
      <c r="C469">
        <v>4.6658878844967021E-3</v>
      </c>
    </row>
    <row r="470" spans="1:3" x14ac:dyDescent="0.2">
      <c r="A470">
        <v>446</v>
      </c>
      <c r="B470">
        <v>3.4663052698830992E-3</v>
      </c>
      <c r="C470">
        <v>-2.5492947242618442E-3</v>
      </c>
    </row>
    <row r="471" spans="1:3" x14ac:dyDescent="0.2">
      <c r="A471">
        <v>447</v>
      </c>
      <c r="B471">
        <v>-6.1704415038919382E-3</v>
      </c>
      <c r="C471">
        <v>-6.3916594684839054E-2</v>
      </c>
    </row>
    <row r="472" spans="1:3" x14ac:dyDescent="0.2">
      <c r="A472">
        <v>448</v>
      </c>
      <c r="B472">
        <v>-1.5272824447788308E-3</v>
      </c>
      <c r="C472">
        <v>-7.8323234665512807E-3</v>
      </c>
    </row>
    <row r="473" spans="1:3" x14ac:dyDescent="0.2">
      <c r="A473">
        <v>449</v>
      </c>
      <c r="B473">
        <v>-3.1751291485082661E-3</v>
      </c>
      <c r="C473">
        <v>1.4114960078393839E-2</v>
      </c>
    </row>
    <row r="474" spans="1:3" x14ac:dyDescent="0.2">
      <c r="A474">
        <v>450</v>
      </c>
      <c r="B474">
        <v>-6.6477850975665068E-3</v>
      </c>
      <c r="C474">
        <v>1.9436766897861717E-2</v>
      </c>
    </row>
    <row r="475" spans="1:3" x14ac:dyDescent="0.2">
      <c r="A475">
        <v>451</v>
      </c>
      <c r="B475">
        <v>-2.2018497720465396E-3</v>
      </c>
      <c r="C475">
        <v>-7.9972760171715691E-3</v>
      </c>
    </row>
    <row r="476" spans="1:3" x14ac:dyDescent="0.2">
      <c r="A476">
        <v>452</v>
      </c>
      <c r="B476">
        <v>1.0015526244574466E-3</v>
      </c>
      <c r="C476">
        <v>-5.1087549001183508E-4</v>
      </c>
    </row>
    <row r="477" spans="1:3" x14ac:dyDescent="0.2">
      <c r="A477">
        <v>453</v>
      </c>
      <c r="B477">
        <v>-1.0999848322649785E-2</v>
      </c>
      <c r="C477">
        <v>-1.9897650451258943E-2</v>
      </c>
    </row>
    <row r="478" spans="1:3" x14ac:dyDescent="0.2">
      <c r="A478">
        <v>454</v>
      </c>
      <c r="B478">
        <v>-8.6316896130603036E-3</v>
      </c>
      <c r="C478">
        <v>7.1134709895784645E-3</v>
      </c>
    </row>
    <row r="479" spans="1:3" x14ac:dyDescent="0.2">
      <c r="A479">
        <v>455</v>
      </c>
      <c r="B479">
        <v>-1.4300016583875474E-2</v>
      </c>
      <c r="C479">
        <v>1.7847913188031597E-2</v>
      </c>
    </row>
    <row r="480" spans="1:3" x14ac:dyDescent="0.2">
      <c r="A480">
        <v>456</v>
      </c>
      <c r="B480">
        <v>-1.2123794851073462E-2</v>
      </c>
      <c r="C480">
        <v>1.012683739962229E-3</v>
      </c>
    </row>
    <row r="481" spans="1:3" x14ac:dyDescent="0.2">
      <c r="A481">
        <v>457</v>
      </c>
      <c r="B481">
        <v>3.0754800386284193E-3</v>
      </c>
      <c r="C481">
        <v>-1.5332885554460822E-2</v>
      </c>
    </row>
    <row r="482" spans="1:3" x14ac:dyDescent="0.2">
      <c r="A482">
        <v>458</v>
      </c>
      <c r="B482">
        <v>-8.293124539309308E-3</v>
      </c>
      <c r="C482">
        <v>5.707809130829437E-3</v>
      </c>
    </row>
    <row r="483" spans="1:3" x14ac:dyDescent="0.2">
      <c r="A483">
        <v>459</v>
      </c>
      <c r="B483">
        <v>-8.7767500253679073E-3</v>
      </c>
      <c r="C483">
        <v>4.6295234831181253E-3</v>
      </c>
    </row>
    <row r="484" spans="1:3" x14ac:dyDescent="0.2">
      <c r="A484">
        <v>460</v>
      </c>
      <c r="B484">
        <v>-2.0014776088677598E-3</v>
      </c>
      <c r="C484">
        <v>-2.1630200486024041E-3</v>
      </c>
    </row>
    <row r="485" spans="1:3" x14ac:dyDescent="0.2">
      <c r="A485">
        <v>461</v>
      </c>
      <c r="B485">
        <v>-2.0774836352078635E-2</v>
      </c>
      <c r="C485">
        <v>-2.7317165738877887E-2</v>
      </c>
    </row>
    <row r="486" spans="1:3" x14ac:dyDescent="0.2">
      <c r="A486">
        <v>462</v>
      </c>
      <c r="B486">
        <v>1.580905003389425E-2</v>
      </c>
      <c r="C486">
        <v>-3.3381812252455498E-2</v>
      </c>
    </row>
    <row r="487" spans="1:3" x14ac:dyDescent="0.2">
      <c r="A487">
        <v>463</v>
      </c>
      <c r="B487">
        <v>-4.4926930243235448E-3</v>
      </c>
      <c r="C487">
        <v>-7.8046798096618577E-3</v>
      </c>
    </row>
    <row r="488" spans="1:3" x14ac:dyDescent="0.2">
      <c r="A488">
        <v>464</v>
      </c>
      <c r="B488">
        <v>1.1154279064445346E-2</v>
      </c>
      <c r="C488">
        <v>-1.1720210020868751E-2</v>
      </c>
    </row>
    <row r="489" spans="1:3" x14ac:dyDescent="0.2">
      <c r="A489">
        <v>465</v>
      </c>
      <c r="B489">
        <v>4.221723330848871E-3</v>
      </c>
      <c r="C489">
        <v>-8.1854832402486616E-3</v>
      </c>
    </row>
    <row r="490" spans="1:3" x14ac:dyDescent="0.2">
      <c r="A490">
        <v>466</v>
      </c>
      <c r="B490">
        <v>7.9818986794432199E-3</v>
      </c>
      <c r="C490">
        <v>2.669689609031229E-2</v>
      </c>
    </row>
    <row r="491" spans="1:3" x14ac:dyDescent="0.2">
      <c r="A491">
        <v>467</v>
      </c>
      <c r="B491">
        <v>-7.4897770523356302E-3</v>
      </c>
      <c r="C491">
        <v>-2.7675058112499568E-2</v>
      </c>
    </row>
    <row r="492" spans="1:3" x14ac:dyDescent="0.2">
      <c r="A492">
        <v>468</v>
      </c>
      <c r="B492">
        <v>-1.6393421123503487E-2</v>
      </c>
      <c r="C492">
        <v>2.8352418845599206E-2</v>
      </c>
    </row>
    <row r="493" spans="1:3" x14ac:dyDescent="0.2">
      <c r="A493">
        <v>469</v>
      </c>
      <c r="B493">
        <v>2.1056445131495398E-2</v>
      </c>
      <c r="C493">
        <v>1.1020088351903608E-2</v>
      </c>
    </row>
    <row r="494" spans="1:3" x14ac:dyDescent="0.2">
      <c r="A494">
        <v>470</v>
      </c>
      <c r="B494">
        <v>2.4445774729160391E-3</v>
      </c>
      <c r="C494">
        <v>-1.8993212024688436E-3</v>
      </c>
    </row>
    <row r="495" spans="1:3" x14ac:dyDescent="0.2">
      <c r="A495">
        <v>471</v>
      </c>
      <c r="B495">
        <v>9.028536964884086E-3</v>
      </c>
      <c r="C495">
        <v>1.3256864683582961E-3</v>
      </c>
    </row>
    <row r="496" spans="1:3" x14ac:dyDescent="0.2">
      <c r="A496">
        <v>472</v>
      </c>
      <c r="B496">
        <v>8.0388327466691615E-3</v>
      </c>
      <c r="C496">
        <v>2.8099247080731152E-2</v>
      </c>
    </row>
    <row r="497" spans="1:3" x14ac:dyDescent="0.2">
      <c r="A497">
        <v>473</v>
      </c>
      <c r="B497">
        <v>-8.6274634340775067E-3</v>
      </c>
      <c r="C497">
        <v>2.0600394199303974E-2</v>
      </c>
    </row>
    <row r="498" spans="1:3" x14ac:dyDescent="0.2">
      <c r="A498">
        <v>474</v>
      </c>
      <c r="B498">
        <v>-3.4052306705545997E-3</v>
      </c>
      <c r="C498">
        <v>-1.4084481263601772E-2</v>
      </c>
    </row>
    <row r="499" spans="1:3" x14ac:dyDescent="0.2">
      <c r="A499">
        <v>475</v>
      </c>
      <c r="B499">
        <v>5.8859719788671109E-3</v>
      </c>
      <c r="C499">
        <v>-1.3215814910804313E-2</v>
      </c>
    </row>
    <row r="500" spans="1:3" x14ac:dyDescent="0.2">
      <c r="A500">
        <v>476</v>
      </c>
      <c r="B500">
        <v>-6.5167796764872884E-3</v>
      </c>
      <c r="C500">
        <v>3.3522227144618523E-3</v>
      </c>
    </row>
    <row r="501" spans="1:3" x14ac:dyDescent="0.2">
      <c r="A501">
        <v>477</v>
      </c>
      <c r="B501">
        <v>8.9872125516722873E-3</v>
      </c>
      <c r="C501">
        <v>-1.0045413609873323E-2</v>
      </c>
    </row>
    <row r="502" spans="1:3" x14ac:dyDescent="0.2">
      <c r="A502">
        <v>478</v>
      </c>
      <c r="B502">
        <v>1.0739884370059617E-2</v>
      </c>
      <c r="C502">
        <v>5.1499461384149972E-3</v>
      </c>
    </row>
    <row r="503" spans="1:3" x14ac:dyDescent="0.2">
      <c r="A503">
        <v>479</v>
      </c>
      <c r="B503">
        <v>6.5321011678368167E-3</v>
      </c>
      <c r="C503">
        <v>2.0579473388993193E-2</v>
      </c>
    </row>
    <row r="504" spans="1:3" x14ac:dyDescent="0.2">
      <c r="A504">
        <v>480</v>
      </c>
      <c r="B504">
        <v>-4.30250659949802E-3</v>
      </c>
      <c r="C504">
        <v>1.4962405076655425E-2</v>
      </c>
    </row>
    <row r="505" spans="1:3" x14ac:dyDescent="0.2">
      <c r="A505">
        <v>481</v>
      </c>
      <c r="B505">
        <v>8.2673872445148625E-3</v>
      </c>
      <c r="C505">
        <v>7.7329582931736848E-4</v>
      </c>
    </row>
    <row r="506" spans="1:3" x14ac:dyDescent="0.2">
      <c r="A506">
        <v>482</v>
      </c>
      <c r="B506">
        <v>-1.2476201614694113E-2</v>
      </c>
      <c r="C506">
        <v>-3.949881013479024E-3</v>
      </c>
    </row>
    <row r="507" spans="1:3" x14ac:dyDescent="0.2">
      <c r="A507">
        <v>483</v>
      </c>
      <c r="B507">
        <v>-6.7579573518444357E-3</v>
      </c>
      <c r="C507">
        <v>3.721520104880758E-3</v>
      </c>
    </row>
    <row r="508" spans="1:3" x14ac:dyDescent="0.2">
      <c r="A508">
        <v>484</v>
      </c>
      <c r="B508">
        <v>-4.1968316408400779E-3</v>
      </c>
      <c r="C508">
        <v>1.3333887478403514E-2</v>
      </c>
    </row>
    <row r="509" spans="1:3" x14ac:dyDescent="0.2">
      <c r="A509">
        <v>485</v>
      </c>
      <c r="B509">
        <v>4.7064203664286394E-3</v>
      </c>
      <c r="C509">
        <v>-1.8790927408682039E-2</v>
      </c>
    </row>
    <row r="510" spans="1:3" x14ac:dyDescent="0.2">
      <c r="A510">
        <v>486</v>
      </c>
      <c r="B510">
        <v>-2.8379611786976851E-3</v>
      </c>
      <c r="C510">
        <v>-1.2978365351914673E-2</v>
      </c>
    </row>
    <row r="511" spans="1:3" x14ac:dyDescent="0.2">
      <c r="A511">
        <v>487</v>
      </c>
      <c r="B511">
        <v>7.2320654601375569E-4</v>
      </c>
      <c r="C511">
        <v>-2.5606565799513002E-2</v>
      </c>
    </row>
    <row r="512" spans="1:3" x14ac:dyDescent="0.2">
      <c r="A512">
        <v>488</v>
      </c>
      <c r="B512">
        <v>-1.0648017858217694E-2</v>
      </c>
      <c r="C512">
        <v>3.6697991276612274E-2</v>
      </c>
    </row>
    <row r="513" spans="1:3" x14ac:dyDescent="0.2">
      <c r="A513">
        <v>489</v>
      </c>
      <c r="B513">
        <v>-7.2952070568675286E-3</v>
      </c>
      <c r="C513">
        <v>2.2839248507644766E-2</v>
      </c>
    </row>
    <row r="514" spans="1:3" x14ac:dyDescent="0.2">
      <c r="A514">
        <v>490</v>
      </c>
      <c r="B514">
        <v>3.1449896454464887E-3</v>
      </c>
      <c r="C514">
        <v>7.5692960688390869E-3</v>
      </c>
    </row>
    <row r="515" spans="1:3" x14ac:dyDescent="0.2">
      <c r="A515">
        <v>491</v>
      </c>
      <c r="B515">
        <v>-2.9224180788075108E-3</v>
      </c>
      <c r="C515">
        <v>2.4123831506369438E-2</v>
      </c>
    </row>
    <row r="516" spans="1:3" x14ac:dyDescent="0.2">
      <c r="A516">
        <v>492</v>
      </c>
      <c r="B516">
        <v>-2.2230079765248999E-3</v>
      </c>
      <c r="C516">
        <v>1.0132053947854614E-2</v>
      </c>
    </row>
    <row r="517" spans="1:3" x14ac:dyDescent="0.2">
      <c r="A517">
        <v>493</v>
      </c>
      <c r="B517">
        <v>2.8729083606597256E-3</v>
      </c>
      <c r="C517">
        <v>1.9687170109178472E-2</v>
      </c>
    </row>
    <row r="518" spans="1:3" x14ac:dyDescent="0.2">
      <c r="A518">
        <v>494</v>
      </c>
      <c r="B518">
        <v>5.9697034277072613E-4</v>
      </c>
      <c r="C518">
        <v>1.3214948850469787E-3</v>
      </c>
    </row>
    <row r="519" spans="1:3" x14ac:dyDescent="0.2">
      <c r="A519">
        <v>495</v>
      </c>
      <c r="B519">
        <v>-2.4505355027274378E-4</v>
      </c>
      <c r="C519">
        <v>-1.6697382161226198E-3</v>
      </c>
    </row>
    <row r="520" spans="1:3" x14ac:dyDescent="0.2">
      <c r="A520">
        <v>496</v>
      </c>
      <c r="B520">
        <v>-3.5330313248522274E-2</v>
      </c>
      <c r="C520">
        <v>-3.1815969725098925E-2</v>
      </c>
    </row>
    <row r="521" spans="1:3" x14ac:dyDescent="0.2">
      <c r="A521">
        <v>497</v>
      </c>
      <c r="B521">
        <v>7.1382745581994199E-3</v>
      </c>
      <c r="C521">
        <v>6.2293346962993762E-3</v>
      </c>
    </row>
    <row r="522" spans="1:3" x14ac:dyDescent="0.2">
      <c r="A522">
        <v>498</v>
      </c>
      <c r="B522">
        <v>-6.778563483125547E-3</v>
      </c>
      <c r="C522">
        <v>7.793276826605992E-3</v>
      </c>
    </row>
    <row r="523" spans="1:3" x14ac:dyDescent="0.2">
      <c r="A523">
        <v>499</v>
      </c>
      <c r="B523">
        <v>-3.9175182599414165E-3</v>
      </c>
      <c r="C523">
        <v>1.4561208072409782E-2</v>
      </c>
    </row>
    <row r="524" spans="1:3" x14ac:dyDescent="0.2">
      <c r="A524">
        <v>500</v>
      </c>
      <c r="B524">
        <v>-7.2923843119252702E-3</v>
      </c>
      <c r="C524">
        <v>-1.4272309770321456E-2</v>
      </c>
    </row>
    <row r="525" spans="1:3" x14ac:dyDescent="0.2">
      <c r="A525">
        <v>501</v>
      </c>
      <c r="B525">
        <v>-7.118482668289185E-3</v>
      </c>
      <c r="C525">
        <v>2.0957539562189726E-2</v>
      </c>
    </row>
    <row r="526" spans="1:3" x14ac:dyDescent="0.2">
      <c r="A526">
        <v>502</v>
      </c>
      <c r="B526">
        <v>2.2544614253058457E-2</v>
      </c>
      <c r="C526">
        <v>-3.3332896827855049E-3</v>
      </c>
    </row>
    <row r="527" spans="1:3" x14ac:dyDescent="0.2">
      <c r="A527">
        <v>503</v>
      </c>
      <c r="B527">
        <v>-1.669903002757579E-3</v>
      </c>
      <c r="C527">
        <v>-9.2427954099407773E-3</v>
      </c>
    </row>
    <row r="528" spans="1:3" x14ac:dyDescent="0.2">
      <c r="A528">
        <v>504</v>
      </c>
      <c r="B528">
        <v>-2.0439286808013969E-2</v>
      </c>
      <c r="C528">
        <v>-8.6479749773421891E-3</v>
      </c>
    </row>
    <row r="529" spans="1:3" x14ac:dyDescent="0.2">
      <c r="A529">
        <v>505</v>
      </c>
      <c r="B529">
        <v>-1.4774276611293047E-2</v>
      </c>
      <c r="C529">
        <v>-2.1899277107715262E-2</v>
      </c>
    </row>
    <row r="530" spans="1:3" x14ac:dyDescent="0.2">
      <c r="A530">
        <v>506</v>
      </c>
      <c r="B530">
        <v>1.2225498656974823E-2</v>
      </c>
      <c r="C530">
        <v>2.1018469171443462E-2</v>
      </c>
    </row>
    <row r="531" spans="1:3" x14ac:dyDescent="0.2">
      <c r="A531">
        <v>507</v>
      </c>
      <c r="B531">
        <v>-6.8956101722530286E-3</v>
      </c>
      <c r="C531">
        <v>-5.0400410991533256E-3</v>
      </c>
    </row>
    <row r="532" spans="1:3" x14ac:dyDescent="0.2">
      <c r="A532">
        <v>508</v>
      </c>
      <c r="B532">
        <v>-2.2820678993718301E-3</v>
      </c>
      <c r="C532">
        <v>-2.4448228569306837E-3</v>
      </c>
    </row>
    <row r="533" spans="1:3" x14ac:dyDescent="0.2">
      <c r="A533">
        <v>509</v>
      </c>
      <c r="B533">
        <v>-2.9893101719902478E-3</v>
      </c>
      <c r="C533">
        <v>-2.8672958957297243E-2</v>
      </c>
    </row>
    <row r="534" spans="1:3" x14ac:dyDescent="0.2">
      <c r="A534">
        <v>510</v>
      </c>
      <c r="B534">
        <v>-1.9853503405834878E-2</v>
      </c>
      <c r="C534">
        <v>-1.2844044278088902E-2</v>
      </c>
    </row>
    <row r="535" spans="1:3" x14ac:dyDescent="0.2">
      <c r="A535">
        <v>511</v>
      </c>
      <c r="B535">
        <v>8.7385376024410148E-3</v>
      </c>
      <c r="C535">
        <v>-4.2314953489199841E-3</v>
      </c>
    </row>
    <row r="536" spans="1:3" x14ac:dyDescent="0.2">
      <c r="A536">
        <v>512</v>
      </c>
      <c r="B536">
        <v>1.456817432130721E-2</v>
      </c>
      <c r="C536">
        <v>2.4130647888451696E-2</v>
      </c>
    </row>
    <row r="537" spans="1:3" x14ac:dyDescent="0.2">
      <c r="A537">
        <v>513</v>
      </c>
      <c r="B537">
        <v>-4.4836287899998406E-3</v>
      </c>
      <c r="C537">
        <v>-1.8734513758596257E-2</v>
      </c>
    </row>
    <row r="538" spans="1:3" x14ac:dyDescent="0.2">
      <c r="A538">
        <v>514</v>
      </c>
      <c r="B538">
        <v>-2.2284266533045941E-2</v>
      </c>
      <c r="C538">
        <v>-2.3044644467506866E-2</v>
      </c>
    </row>
    <row r="539" spans="1:3" x14ac:dyDescent="0.2">
      <c r="A539">
        <v>515</v>
      </c>
      <c r="B539">
        <v>1.713805408177025E-2</v>
      </c>
      <c r="C539">
        <v>5.4444589466026844E-3</v>
      </c>
    </row>
    <row r="540" spans="1:3" x14ac:dyDescent="0.2">
      <c r="A540">
        <v>516</v>
      </c>
      <c r="B540">
        <v>-2.0954950004410815E-2</v>
      </c>
      <c r="C540">
        <v>1.6991190095011027E-2</v>
      </c>
    </row>
    <row r="541" spans="1:3" x14ac:dyDescent="0.2">
      <c r="A541">
        <v>517</v>
      </c>
      <c r="B541">
        <v>1.212699775501855E-3</v>
      </c>
      <c r="C541">
        <v>-1.212699775501855E-3</v>
      </c>
    </row>
    <row r="542" spans="1:3" x14ac:dyDescent="0.2">
      <c r="A542">
        <v>518</v>
      </c>
      <c r="B542">
        <v>1.4107806464951712E-4</v>
      </c>
      <c r="C542">
        <v>-1.207967954276213E-2</v>
      </c>
    </row>
    <row r="543" spans="1:3" x14ac:dyDescent="0.2">
      <c r="A543">
        <v>519</v>
      </c>
      <c r="B543">
        <v>4.8807008731130957E-3</v>
      </c>
      <c r="C543">
        <v>1.5832762878325309E-2</v>
      </c>
    </row>
    <row r="544" spans="1:3" x14ac:dyDescent="0.2">
      <c r="A544">
        <v>520</v>
      </c>
      <c r="B544">
        <v>1.8893408044273467E-2</v>
      </c>
      <c r="C544">
        <v>2.5075024875681508E-2</v>
      </c>
    </row>
    <row r="545" spans="1:3" x14ac:dyDescent="0.2">
      <c r="A545">
        <v>521</v>
      </c>
      <c r="B545">
        <v>1.0158130390866231E-2</v>
      </c>
      <c r="C545">
        <v>7.1204873197169369E-3</v>
      </c>
    </row>
    <row r="546" spans="1:3" x14ac:dyDescent="0.2">
      <c r="A546">
        <v>522</v>
      </c>
      <c r="B546">
        <v>-6.9448757592402693E-4</v>
      </c>
      <c r="C546">
        <v>7.0639143275164368E-3</v>
      </c>
    </row>
    <row r="547" spans="1:3" x14ac:dyDescent="0.2">
      <c r="A547">
        <v>523</v>
      </c>
      <c r="B547">
        <v>-2.2776932590549595E-2</v>
      </c>
      <c r="C547">
        <v>-2.0999438717467379E-2</v>
      </c>
    </row>
    <row r="548" spans="1:3" x14ac:dyDescent="0.2">
      <c r="A548">
        <v>524</v>
      </c>
      <c r="B548">
        <v>-4.5725839819669094E-2</v>
      </c>
      <c r="C548">
        <v>8.2189451699173147E-3</v>
      </c>
    </row>
    <row r="549" spans="1:3" x14ac:dyDescent="0.2">
      <c r="A549">
        <v>525</v>
      </c>
      <c r="B549">
        <v>4.0008989662720009E-3</v>
      </c>
      <c r="C549">
        <v>1.08988145007768E-2</v>
      </c>
    </row>
    <row r="550" spans="1:3" x14ac:dyDescent="0.2">
      <c r="A550">
        <v>526</v>
      </c>
      <c r="B550">
        <v>1.5251071124809586E-2</v>
      </c>
      <c r="C550">
        <v>6.2057329406900747E-3</v>
      </c>
    </row>
    <row r="551" spans="1:3" x14ac:dyDescent="0.2">
      <c r="A551">
        <v>527</v>
      </c>
      <c r="B551">
        <v>-1.904810770500533E-2</v>
      </c>
      <c r="C551">
        <v>1.5731358119599099E-2</v>
      </c>
    </row>
    <row r="552" spans="1:3" x14ac:dyDescent="0.2">
      <c r="A552">
        <v>528</v>
      </c>
      <c r="B552">
        <v>6.7280375738072917E-3</v>
      </c>
      <c r="C552">
        <v>8.2470040235304541E-3</v>
      </c>
    </row>
    <row r="553" spans="1:3" x14ac:dyDescent="0.2">
      <c r="A553">
        <v>529</v>
      </c>
      <c r="B553">
        <v>-5.6942588687935707E-3</v>
      </c>
      <c r="C553">
        <v>7.8800512185202998E-3</v>
      </c>
    </row>
    <row r="554" spans="1:3" x14ac:dyDescent="0.2">
      <c r="A554">
        <v>530</v>
      </c>
      <c r="B554">
        <v>2.2717178115032172E-2</v>
      </c>
      <c r="C554">
        <v>-3.0896022171738747E-2</v>
      </c>
    </row>
    <row r="555" spans="1:3" x14ac:dyDescent="0.2">
      <c r="A555">
        <v>531</v>
      </c>
      <c r="B555">
        <v>2.4445796864557594E-2</v>
      </c>
      <c r="C555">
        <v>-6.8537133021606585E-3</v>
      </c>
    </row>
    <row r="556" spans="1:3" x14ac:dyDescent="0.2">
      <c r="A556">
        <v>532</v>
      </c>
      <c r="B556">
        <v>1.9577603179730764E-2</v>
      </c>
      <c r="C556">
        <v>-1.2014123979298727E-2</v>
      </c>
    </row>
    <row r="557" spans="1:3" x14ac:dyDescent="0.2">
      <c r="A557">
        <v>533</v>
      </c>
      <c r="B557">
        <v>-1.4843547855327599E-2</v>
      </c>
      <c r="C557">
        <v>2.5567408445140084E-2</v>
      </c>
    </row>
    <row r="558" spans="1:3" x14ac:dyDescent="0.2">
      <c r="A558">
        <v>534</v>
      </c>
      <c r="B558">
        <v>4.604197198289698E-3</v>
      </c>
      <c r="C558">
        <v>5.0037712616033778E-2</v>
      </c>
    </row>
    <row r="559" spans="1:3" x14ac:dyDescent="0.2">
      <c r="A559">
        <v>535</v>
      </c>
      <c r="B559">
        <v>1.9189589092142679E-2</v>
      </c>
      <c r="C559">
        <v>-1.214733557101589E-2</v>
      </c>
    </row>
    <row r="560" spans="1:3" x14ac:dyDescent="0.2">
      <c r="A560">
        <v>536</v>
      </c>
      <c r="B560">
        <v>-2.134863148589457E-3</v>
      </c>
      <c r="C560">
        <v>3.0106891120617367E-2</v>
      </c>
    </row>
    <row r="561" spans="1:3" x14ac:dyDescent="0.2">
      <c r="A561">
        <v>537</v>
      </c>
      <c r="B561">
        <v>3.2239877828563947E-2</v>
      </c>
      <c r="C561">
        <v>-6.9726280715181159E-3</v>
      </c>
    </row>
    <row r="562" spans="1:3" x14ac:dyDescent="0.2">
      <c r="A562">
        <v>538</v>
      </c>
      <c r="B562">
        <v>-8.1456230079739369E-3</v>
      </c>
      <c r="C562">
        <v>-1.9816462300082924E-2</v>
      </c>
    </row>
    <row r="563" spans="1:3" x14ac:dyDescent="0.2">
      <c r="A563">
        <v>539</v>
      </c>
      <c r="B563">
        <v>-1.2345821561375227E-2</v>
      </c>
      <c r="C563">
        <v>-1.9833603109517022E-2</v>
      </c>
    </row>
    <row r="564" spans="1:3" x14ac:dyDescent="0.2">
      <c r="A564">
        <v>540</v>
      </c>
      <c r="B564">
        <v>-9.7226947328846389E-3</v>
      </c>
      <c r="C564">
        <v>1.6775591458325294E-2</v>
      </c>
    </row>
    <row r="565" spans="1:3" x14ac:dyDescent="0.2">
      <c r="A565">
        <v>541</v>
      </c>
      <c r="B565">
        <v>-2.2675064841295969E-2</v>
      </c>
      <c r="C565">
        <v>8.6680613395452126E-3</v>
      </c>
    </row>
    <row r="566" spans="1:3" x14ac:dyDescent="0.2">
      <c r="A566">
        <v>542</v>
      </c>
      <c r="B566">
        <v>1.7293210479716315E-2</v>
      </c>
      <c r="C566">
        <v>4.5231264051137053E-3</v>
      </c>
    </row>
    <row r="567" spans="1:3" x14ac:dyDescent="0.2">
      <c r="A567">
        <v>543</v>
      </c>
      <c r="B567">
        <v>3.0995586048851126E-3</v>
      </c>
      <c r="C567">
        <v>4.903549601279119E-2</v>
      </c>
    </row>
    <row r="568" spans="1:3" x14ac:dyDescent="0.2">
      <c r="A568">
        <v>544</v>
      </c>
      <c r="B568">
        <v>-3.4752013058457934E-3</v>
      </c>
      <c r="C568">
        <v>4.419042740484754E-3</v>
      </c>
    </row>
    <row r="569" spans="1:3" x14ac:dyDescent="0.2">
      <c r="A569">
        <v>545</v>
      </c>
      <c r="B569">
        <v>3.9937921236778461E-3</v>
      </c>
      <c r="C569">
        <v>-1.1065927908685019E-2</v>
      </c>
    </row>
    <row r="570" spans="1:3" x14ac:dyDescent="0.2">
      <c r="A570">
        <v>546</v>
      </c>
      <c r="B570">
        <v>2.5837845447474576E-2</v>
      </c>
      <c r="C570">
        <v>-3.0458226554517624E-3</v>
      </c>
    </row>
    <row r="571" spans="1:3" x14ac:dyDescent="0.2">
      <c r="A571">
        <v>547</v>
      </c>
      <c r="B571">
        <v>5.2324780863431588E-4</v>
      </c>
      <c r="C571">
        <v>-2.977115867214402E-2</v>
      </c>
    </row>
    <row r="572" spans="1:3" x14ac:dyDescent="0.2">
      <c r="A572">
        <v>548</v>
      </c>
      <c r="B572">
        <v>-6.6872327088130746E-3</v>
      </c>
      <c r="C572">
        <v>2.6295075846067984E-2</v>
      </c>
    </row>
    <row r="573" spans="1:3" x14ac:dyDescent="0.2">
      <c r="A573">
        <v>549</v>
      </c>
      <c r="B573">
        <v>2.6514516521179924E-2</v>
      </c>
      <c r="C573">
        <v>-8.6908767463206825E-3</v>
      </c>
    </row>
    <row r="574" spans="1:3" x14ac:dyDescent="0.2">
      <c r="A574">
        <v>550</v>
      </c>
      <c r="B574">
        <v>-9.4897622858365737E-3</v>
      </c>
      <c r="C574">
        <v>-2.1846643244117329E-2</v>
      </c>
    </row>
    <row r="575" spans="1:3" x14ac:dyDescent="0.2">
      <c r="A575">
        <v>551</v>
      </c>
      <c r="B575">
        <v>-8.813873699040322E-3</v>
      </c>
      <c r="C575">
        <v>-1.9254632485545781E-2</v>
      </c>
    </row>
    <row r="576" spans="1:3" x14ac:dyDescent="0.2">
      <c r="A576">
        <v>552</v>
      </c>
      <c r="B576">
        <v>-7.7397896412108062E-3</v>
      </c>
      <c r="C576">
        <v>2.4381982494857398E-2</v>
      </c>
    </row>
    <row r="577" spans="1:3" x14ac:dyDescent="0.2">
      <c r="A577">
        <v>553</v>
      </c>
      <c r="B577">
        <v>1.520148299067345E-2</v>
      </c>
      <c r="C577">
        <v>-1.4238555691684545E-2</v>
      </c>
    </row>
    <row r="578" spans="1:3" x14ac:dyDescent="0.2">
      <c r="A578">
        <v>554</v>
      </c>
      <c r="B578">
        <v>1.2157088693020169E-2</v>
      </c>
      <c r="C578">
        <v>1.4297937762006323E-2</v>
      </c>
    </row>
    <row r="579" spans="1:3" x14ac:dyDescent="0.2">
      <c r="A579">
        <v>555</v>
      </c>
      <c r="B579">
        <v>-3.9941369538515066E-4</v>
      </c>
      <c r="C579">
        <v>1.5863331221158433E-2</v>
      </c>
    </row>
    <row r="580" spans="1:3" x14ac:dyDescent="0.2">
      <c r="A580">
        <v>556</v>
      </c>
      <c r="B580">
        <v>3.7865446779439104E-3</v>
      </c>
      <c r="C580">
        <v>1.3749219050713172E-2</v>
      </c>
    </row>
    <row r="581" spans="1:3" x14ac:dyDescent="0.2">
      <c r="A581">
        <v>557</v>
      </c>
      <c r="B581">
        <v>-3.5113251350445381E-3</v>
      </c>
      <c r="C581">
        <v>-1.8257382347948679E-2</v>
      </c>
    </row>
    <row r="582" spans="1:3" x14ac:dyDescent="0.2">
      <c r="A582">
        <v>558</v>
      </c>
      <c r="B582">
        <v>-6.5718542289459466E-3</v>
      </c>
      <c r="C582">
        <v>3.160662474354952E-2</v>
      </c>
    </row>
    <row r="583" spans="1:3" x14ac:dyDescent="0.2">
      <c r="A583">
        <v>559</v>
      </c>
      <c r="B583">
        <v>-6.4488069601175511E-3</v>
      </c>
      <c r="C583">
        <v>-7.8773758985984169E-4</v>
      </c>
    </row>
    <row r="584" spans="1:3" x14ac:dyDescent="0.2">
      <c r="A584">
        <v>560</v>
      </c>
      <c r="B584">
        <v>6.1104463909665294E-3</v>
      </c>
      <c r="C584">
        <v>1.1201626501971922E-2</v>
      </c>
    </row>
    <row r="585" spans="1:3" x14ac:dyDescent="0.2">
      <c r="A585">
        <v>561</v>
      </c>
      <c r="B585">
        <v>-1.5167423881207722E-2</v>
      </c>
      <c r="C585">
        <v>-1.8419678671412074E-2</v>
      </c>
    </row>
    <row r="586" spans="1:3" x14ac:dyDescent="0.2">
      <c r="A586">
        <v>562</v>
      </c>
      <c r="B586">
        <v>6.729758615696131E-3</v>
      </c>
      <c r="C586">
        <v>2.7097859549271453E-2</v>
      </c>
    </row>
    <row r="587" spans="1:3" x14ac:dyDescent="0.2">
      <c r="A587">
        <v>563</v>
      </c>
      <c r="B587">
        <v>-3.5402217453911321E-3</v>
      </c>
      <c r="C587">
        <v>-3.6800432669669314E-2</v>
      </c>
    </row>
    <row r="588" spans="1:3" x14ac:dyDescent="0.2">
      <c r="A588">
        <v>564</v>
      </c>
      <c r="B588">
        <v>-1.8275514555106489E-3</v>
      </c>
      <c r="C588">
        <v>1.1168980694184132E-2</v>
      </c>
    </row>
    <row r="589" spans="1:3" x14ac:dyDescent="0.2">
      <c r="A589">
        <v>565</v>
      </c>
      <c r="B589">
        <v>-7.6792716031535467E-3</v>
      </c>
      <c r="C589">
        <v>-1.8234657133542369E-2</v>
      </c>
    </row>
    <row r="590" spans="1:3" x14ac:dyDescent="0.2">
      <c r="A590">
        <v>566</v>
      </c>
      <c r="B590">
        <v>-1.0334864978822958E-3</v>
      </c>
      <c r="C590">
        <v>-4.6672260911913861E-3</v>
      </c>
    </row>
    <row r="591" spans="1:3" x14ac:dyDescent="0.2">
      <c r="A591">
        <v>567</v>
      </c>
      <c r="B591">
        <v>2.1379083384010697E-3</v>
      </c>
      <c r="C591">
        <v>-1.6601252519222564E-3</v>
      </c>
    </row>
    <row r="592" spans="1:3" x14ac:dyDescent="0.2">
      <c r="A592">
        <v>568</v>
      </c>
      <c r="B592">
        <v>-8.2259401361726233E-4</v>
      </c>
      <c r="C592">
        <v>-3.0696030628216554E-2</v>
      </c>
    </row>
    <row r="593" spans="1:3" x14ac:dyDescent="0.2">
      <c r="A593">
        <v>569</v>
      </c>
      <c r="B593">
        <v>-7.0878107693083123E-3</v>
      </c>
      <c r="C593">
        <v>8.5671007101365947E-3</v>
      </c>
    </row>
    <row r="594" spans="1:3" x14ac:dyDescent="0.2">
      <c r="A594">
        <v>570</v>
      </c>
      <c r="B594">
        <v>-1.0415644308029466E-2</v>
      </c>
      <c r="C594">
        <v>-4.8477727279133565E-3</v>
      </c>
    </row>
    <row r="595" spans="1:3" x14ac:dyDescent="0.2">
      <c r="A595">
        <v>571</v>
      </c>
      <c r="B595">
        <v>-1.4028523793298327E-2</v>
      </c>
      <c r="C595">
        <v>-3.8471476206701702E-2</v>
      </c>
    </row>
    <row r="596" spans="1:3" x14ac:dyDescent="0.2">
      <c r="A596">
        <v>572</v>
      </c>
      <c r="B596">
        <v>-2.5414568108981309E-3</v>
      </c>
      <c r="C596">
        <v>-2.8065403347413125E-2</v>
      </c>
    </row>
    <row r="597" spans="1:3" x14ac:dyDescent="0.2">
      <c r="A597">
        <v>573</v>
      </c>
      <c r="B597">
        <v>-3.6057954862307863E-3</v>
      </c>
      <c r="C597">
        <v>5.0965621289170218E-2</v>
      </c>
    </row>
    <row r="598" spans="1:3" x14ac:dyDescent="0.2">
      <c r="A598">
        <v>574</v>
      </c>
      <c r="B598">
        <v>7.4497526831261447E-4</v>
      </c>
      <c r="C598">
        <v>2.3163548640211341E-2</v>
      </c>
    </row>
    <row r="599" spans="1:3" x14ac:dyDescent="0.2">
      <c r="A599">
        <v>575</v>
      </c>
      <c r="B599">
        <v>9.6024969264102823E-4</v>
      </c>
      <c r="C599">
        <v>2.7466146246445382E-2</v>
      </c>
    </row>
    <row r="600" spans="1:3" x14ac:dyDescent="0.2">
      <c r="A600">
        <v>576</v>
      </c>
      <c r="B600">
        <v>-7.9974185455408478E-3</v>
      </c>
      <c r="C600">
        <v>-1.618816881872381E-2</v>
      </c>
    </row>
    <row r="601" spans="1:3" x14ac:dyDescent="0.2">
      <c r="A601">
        <v>577</v>
      </c>
      <c r="B601">
        <v>-2.2341717938511901E-2</v>
      </c>
      <c r="C601">
        <v>-6.9956619299756211E-3</v>
      </c>
    </row>
    <row r="602" spans="1:3" x14ac:dyDescent="0.2">
      <c r="A602">
        <v>578</v>
      </c>
      <c r="B602">
        <v>6.2188110929128375E-3</v>
      </c>
      <c r="C602">
        <v>-1.0077636723814223E-3</v>
      </c>
    </row>
    <row r="603" spans="1:3" x14ac:dyDescent="0.2">
      <c r="A603">
        <v>579</v>
      </c>
      <c r="B603">
        <v>-1.6720853259288546E-2</v>
      </c>
      <c r="C603">
        <v>-1.5938555760929136E-2</v>
      </c>
    </row>
    <row r="604" spans="1:3" x14ac:dyDescent="0.2">
      <c r="A604">
        <v>580</v>
      </c>
      <c r="B604">
        <v>9.1675987081538297E-3</v>
      </c>
      <c r="C604">
        <v>2.0864205844507173E-3</v>
      </c>
    </row>
    <row r="605" spans="1:3" x14ac:dyDescent="0.2">
      <c r="A605">
        <v>581</v>
      </c>
      <c r="B605">
        <v>-7.747708870873584E-3</v>
      </c>
      <c r="C605">
        <v>6.6878254580490177E-3</v>
      </c>
    </row>
    <row r="606" spans="1:3" x14ac:dyDescent="0.2">
      <c r="A606">
        <v>582</v>
      </c>
      <c r="B606">
        <v>-4.1215767317816726E-3</v>
      </c>
      <c r="C606">
        <v>-1.3915558546732907E-2</v>
      </c>
    </row>
    <row r="607" spans="1:3" x14ac:dyDescent="0.2">
      <c r="A607">
        <v>583</v>
      </c>
      <c r="B607">
        <v>8.5084901989197065E-4</v>
      </c>
      <c r="C607">
        <v>1.6977351952555262E-2</v>
      </c>
    </row>
    <row r="608" spans="1:3" x14ac:dyDescent="0.2">
      <c r="A608">
        <v>584</v>
      </c>
      <c r="B608">
        <v>1.5456088776439794E-2</v>
      </c>
      <c r="C608">
        <v>2.0598347904392834E-3</v>
      </c>
    </row>
    <row r="609" spans="1:3" x14ac:dyDescent="0.2">
      <c r="A609">
        <v>585</v>
      </c>
      <c r="B609">
        <v>-7.5881703129747737E-3</v>
      </c>
      <c r="C609">
        <v>-6.4963367292789091E-3</v>
      </c>
    </row>
    <row r="610" spans="1:3" x14ac:dyDescent="0.2">
      <c r="A610">
        <v>586</v>
      </c>
      <c r="B610">
        <v>-9.939151753664428E-3</v>
      </c>
      <c r="C610">
        <v>8.880950695463392E-3</v>
      </c>
    </row>
    <row r="611" spans="1:3" x14ac:dyDescent="0.2">
      <c r="A611">
        <v>587</v>
      </c>
      <c r="B611">
        <v>6.0608247236968492E-3</v>
      </c>
      <c r="C611">
        <v>-2.2480316249120509E-2</v>
      </c>
    </row>
    <row r="612" spans="1:3" x14ac:dyDescent="0.2">
      <c r="A612">
        <v>588</v>
      </c>
      <c r="B612">
        <v>-4.1527213858306884E-3</v>
      </c>
      <c r="C612">
        <v>-2.3093141553648415E-3</v>
      </c>
    </row>
    <row r="613" spans="1:3" x14ac:dyDescent="0.2">
      <c r="A613">
        <v>589</v>
      </c>
      <c r="B613">
        <v>-1.4434806716395195E-2</v>
      </c>
      <c r="C613">
        <v>-3.3803675668428686E-2</v>
      </c>
    </row>
    <row r="614" spans="1:3" x14ac:dyDescent="0.2">
      <c r="A614">
        <v>590</v>
      </c>
      <c r="B614">
        <v>4.6743640050974809E-3</v>
      </c>
      <c r="C614">
        <v>-1.2647029153161092E-2</v>
      </c>
    </row>
    <row r="615" spans="1:3" x14ac:dyDescent="0.2">
      <c r="A615">
        <v>591</v>
      </c>
      <c r="B615">
        <v>2.4356904599192174E-2</v>
      </c>
      <c r="C615">
        <v>2.6235776051705614E-3</v>
      </c>
    </row>
    <row r="616" spans="1:3" x14ac:dyDescent="0.2">
      <c r="A616">
        <v>592</v>
      </c>
      <c r="B616">
        <v>1.3628208745062128E-2</v>
      </c>
      <c r="C616">
        <v>2.7735681696525266E-2</v>
      </c>
    </row>
    <row r="617" spans="1:3" x14ac:dyDescent="0.2">
      <c r="A617">
        <v>593</v>
      </c>
      <c r="B617">
        <v>-1.1083473187691347E-2</v>
      </c>
      <c r="C617">
        <v>1.5914391062087474E-2</v>
      </c>
    </row>
    <row r="618" spans="1:3" x14ac:dyDescent="0.2">
      <c r="A618">
        <v>594</v>
      </c>
      <c r="B618">
        <v>-2.4251438383887627E-2</v>
      </c>
      <c r="C618">
        <v>-1.2073347940898687E-2</v>
      </c>
    </row>
    <row r="619" spans="1:3" x14ac:dyDescent="0.2">
      <c r="A619">
        <v>595</v>
      </c>
      <c r="B619">
        <v>-1.3480662759936993E-2</v>
      </c>
      <c r="C619">
        <v>-4.9712241896382334E-2</v>
      </c>
    </row>
    <row r="620" spans="1:3" x14ac:dyDescent="0.2">
      <c r="A620">
        <v>596</v>
      </c>
      <c r="B620">
        <v>-1.9444996154762673E-3</v>
      </c>
      <c r="C620">
        <v>-7.5229560058255162E-3</v>
      </c>
    </row>
    <row r="621" spans="1:3" x14ac:dyDescent="0.2">
      <c r="A621">
        <v>597</v>
      </c>
      <c r="B621">
        <v>3.2667024006641709E-3</v>
      </c>
      <c r="C621">
        <v>1.9433417073649005E-2</v>
      </c>
    </row>
    <row r="622" spans="1:3" x14ac:dyDescent="0.2">
      <c r="A622">
        <v>598</v>
      </c>
      <c r="B622">
        <v>-1.7426504132419293E-2</v>
      </c>
      <c r="C622">
        <v>1.45059433847557E-2</v>
      </c>
    </row>
    <row r="623" spans="1:3" x14ac:dyDescent="0.2">
      <c r="A623">
        <v>599</v>
      </c>
      <c r="B623">
        <v>1.0046679851852473E-2</v>
      </c>
      <c r="C623">
        <v>-4.5781887819046345E-2</v>
      </c>
    </row>
    <row r="624" spans="1:3" x14ac:dyDescent="0.2">
      <c r="A624">
        <v>600</v>
      </c>
      <c r="B624">
        <v>2.2580092810904808E-2</v>
      </c>
      <c r="C624">
        <v>-9.2143576954735289E-3</v>
      </c>
    </row>
    <row r="625" spans="1:3" x14ac:dyDescent="0.2">
      <c r="A625">
        <v>601</v>
      </c>
      <c r="B625">
        <v>1.6287254024218074E-4</v>
      </c>
      <c r="C625">
        <v>4.3664784345095857E-4</v>
      </c>
    </row>
    <row r="626" spans="1:3" x14ac:dyDescent="0.2">
      <c r="A626">
        <v>602</v>
      </c>
      <c r="B626">
        <v>1.7517973165846586E-2</v>
      </c>
      <c r="C626">
        <v>2.2625825515998718E-2</v>
      </c>
    </row>
    <row r="627" spans="1:3" x14ac:dyDescent="0.2">
      <c r="A627">
        <v>603</v>
      </c>
      <c r="B627">
        <v>4.8199315220854896E-2</v>
      </c>
      <c r="C627">
        <v>-3.3222356695509186E-2</v>
      </c>
    </row>
    <row r="628" spans="1:3" x14ac:dyDescent="0.2">
      <c r="A628">
        <v>604</v>
      </c>
      <c r="B628">
        <v>1.6590033821478195E-2</v>
      </c>
      <c r="C628">
        <v>-2.6805697839639361E-2</v>
      </c>
    </row>
    <row r="629" spans="1:3" x14ac:dyDescent="0.2">
      <c r="A629">
        <v>605</v>
      </c>
      <c r="B629">
        <v>1.8356334515292953E-2</v>
      </c>
      <c r="C629">
        <v>2.2354674659018813E-2</v>
      </c>
    </row>
    <row r="630" spans="1:3" x14ac:dyDescent="0.2">
      <c r="A630">
        <v>606</v>
      </c>
      <c r="B630">
        <v>-5.1071843458642486E-3</v>
      </c>
      <c r="C630">
        <v>2.7145751838977314E-2</v>
      </c>
    </row>
    <row r="631" spans="1:3" x14ac:dyDescent="0.2">
      <c r="A631">
        <v>607</v>
      </c>
      <c r="B631">
        <v>1.9520298347545872E-2</v>
      </c>
      <c r="C631">
        <v>2.0371884940863748E-2</v>
      </c>
    </row>
    <row r="632" spans="1:3" x14ac:dyDescent="0.2">
      <c r="A632">
        <v>608</v>
      </c>
      <c r="B632">
        <v>6.4459036513170179E-3</v>
      </c>
      <c r="C632">
        <v>1.999266555552599E-2</v>
      </c>
    </row>
    <row r="633" spans="1:3" x14ac:dyDescent="0.2">
      <c r="A633">
        <v>609</v>
      </c>
      <c r="B633">
        <v>-1.2322786017043388E-2</v>
      </c>
      <c r="C633">
        <v>1.5858139552396937E-2</v>
      </c>
    </row>
    <row r="634" spans="1:3" x14ac:dyDescent="0.2">
      <c r="A634">
        <v>610</v>
      </c>
      <c r="B634">
        <v>1.0363742422217636E-2</v>
      </c>
      <c r="C634">
        <v>2.4361974739332319E-2</v>
      </c>
    </row>
    <row r="635" spans="1:3" x14ac:dyDescent="0.2">
      <c r="A635">
        <v>611</v>
      </c>
      <c r="B635">
        <v>-1.530245263204322E-3</v>
      </c>
      <c r="C635">
        <v>5.9076771698191016E-3</v>
      </c>
    </row>
    <row r="636" spans="1:3" x14ac:dyDescent="0.2">
      <c r="A636">
        <v>612</v>
      </c>
      <c r="B636">
        <v>1.1183815033407532E-2</v>
      </c>
      <c r="C636">
        <v>-5.3006200677303134E-4</v>
      </c>
    </row>
    <row r="637" spans="1:3" x14ac:dyDescent="0.2">
      <c r="A637">
        <v>613</v>
      </c>
      <c r="B637">
        <v>-1.8601542400524741E-2</v>
      </c>
      <c r="C637">
        <v>-2.3085089127985129E-2</v>
      </c>
    </row>
    <row r="638" spans="1:3" x14ac:dyDescent="0.2">
      <c r="A638">
        <v>614</v>
      </c>
      <c r="B638">
        <v>-1.2794141418159169E-2</v>
      </c>
      <c r="C638">
        <v>-1.8705858581840783E-2</v>
      </c>
    </row>
    <row r="639" spans="1:3" x14ac:dyDescent="0.2">
      <c r="A639">
        <v>615</v>
      </c>
      <c r="B639">
        <v>8.784224150887688E-3</v>
      </c>
      <c r="C639">
        <v>-8.784224150887688E-3</v>
      </c>
    </row>
    <row r="640" spans="1:3" x14ac:dyDescent="0.2">
      <c r="A640">
        <v>616</v>
      </c>
      <c r="B640">
        <v>-3.3870792852433774E-3</v>
      </c>
      <c r="C640">
        <v>4.0557962093710022E-2</v>
      </c>
    </row>
    <row r="641" spans="1:3" x14ac:dyDescent="0.2">
      <c r="A641">
        <v>617</v>
      </c>
      <c r="B641">
        <v>4.1718562727089325E-3</v>
      </c>
      <c r="C641">
        <v>-3.1763361134257281E-3</v>
      </c>
    </row>
    <row r="642" spans="1:3" x14ac:dyDescent="0.2">
      <c r="A642">
        <v>618</v>
      </c>
      <c r="B642">
        <v>-1.5756309003323382E-3</v>
      </c>
      <c r="C642">
        <v>-5.8833447336805204E-3</v>
      </c>
    </row>
    <row r="643" spans="1:3" x14ac:dyDescent="0.2">
      <c r="A643">
        <v>619</v>
      </c>
      <c r="B643">
        <v>-1.5205609260361234E-2</v>
      </c>
      <c r="C643">
        <v>1.570661126436915E-2</v>
      </c>
    </row>
    <row r="644" spans="1:3" x14ac:dyDescent="0.2">
      <c r="A644">
        <v>620</v>
      </c>
      <c r="B644">
        <v>2.1082613248214446E-2</v>
      </c>
      <c r="C644">
        <v>2.1481232520438608E-2</v>
      </c>
    </row>
    <row r="645" spans="1:3" x14ac:dyDescent="0.2">
      <c r="A645">
        <v>621</v>
      </c>
      <c r="B645">
        <v>-1.3145221629276954E-2</v>
      </c>
      <c r="C645">
        <v>2.578458901130995E-3</v>
      </c>
    </row>
    <row r="646" spans="1:3" x14ac:dyDescent="0.2">
      <c r="A646">
        <v>622</v>
      </c>
      <c r="B646">
        <v>-4.4179053403857601E-3</v>
      </c>
      <c r="C646">
        <v>2.383538106854103E-2</v>
      </c>
    </row>
    <row r="647" spans="1:3" x14ac:dyDescent="0.2">
      <c r="A647">
        <v>623</v>
      </c>
      <c r="B647">
        <v>-3.4153241499947445E-3</v>
      </c>
      <c r="C647">
        <v>2.0081990816661479E-2</v>
      </c>
    </row>
    <row r="648" spans="1:3" x14ac:dyDescent="0.2">
      <c r="A648">
        <v>624</v>
      </c>
      <c r="B648">
        <v>-2.4600144587066563E-2</v>
      </c>
      <c r="C648">
        <v>-2.5661317595377375E-3</v>
      </c>
    </row>
    <row r="649" spans="1:3" x14ac:dyDescent="0.2">
      <c r="A649">
        <v>625</v>
      </c>
      <c r="B649">
        <v>2.4043005379298536E-2</v>
      </c>
      <c r="C649">
        <v>3.1325314312564835E-2</v>
      </c>
    </row>
    <row r="650" spans="1:3" x14ac:dyDescent="0.2">
      <c r="A650">
        <v>626</v>
      </c>
      <c r="B650">
        <v>-3.5458030131088293E-3</v>
      </c>
      <c r="C650">
        <v>-9.2279196146284465E-3</v>
      </c>
    </row>
    <row r="651" spans="1:3" x14ac:dyDescent="0.2">
      <c r="A651">
        <v>627</v>
      </c>
      <c r="B651">
        <v>1.2368405412831735E-2</v>
      </c>
      <c r="C651">
        <v>-2.2072656799153399E-2</v>
      </c>
    </row>
    <row r="652" spans="1:3" x14ac:dyDescent="0.2">
      <c r="A652">
        <v>628</v>
      </c>
      <c r="B652">
        <v>1.859136999296564E-2</v>
      </c>
      <c r="C652">
        <v>1.0073234274730787E-3</v>
      </c>
    </row>
    <row r="653" spans="1:3" x14ac:dyDescent="0.2">
      <c r="A653">
        <v>629</v>
      </c>
      <c r="B653">
        <v>2.8777983877946643E-2</v>
      </c>
      <c r="C653">
        <v>1.286961337605794E-2</v>
      </c>
    </row>
    <row r="654" spans="1:3" x14ac:dyDescent="0.2">
      <c r="A654">
        <v>630</v>
      </c>
      <c r="B654">
        <v>-1.2521354437101794E-2</v>
      </c>
      <c r="C654">
        <v>-1.8673724649014234E-2</v>
      </c>
    </row>
    <row r="655" spans="1:3" x14ac:dyDescent="0.2">
      <c r="A655">
        <v>631</v>
      </c>
      <c r="B655">
        <v>3.5765266015252936E-3</v>
      </c>
      <c r="C655">
        <v>2.7726797476810808E-3</v>
      </c>
    </row>
    <row r="656" spans="1:3" x14ac:dyDescent="0.2">
      <c r="A656">
        <v>632</v>
      </c>
      <c r="B656">
        <v>5.7610276875072293E-3</v>
      </c>
      <c r="C656">
        <v>1.1814456764948696E-2</v>
      </c>
    </row>
    <row r="657" spans="1:3" x14ac:dyDescent="0.2">
      <c r="A657">
        <v>633</v>
      </c>
      <c r="B657">
        <v>1.6528105466108899E-2</v>
      </c>
      <c r="C657">
        <v>1.7129999051163098E-2</v>
      </c>
    </row>
    <row r="658" spans="1:3" x14ac:dyDescent="0.2">
      <c r="A658">
        <v>634</v>
      </c>
      <c r="B658">
        <v>-1.3692359012976505E-2</v>
      </c>
      <c r="C658">
        <v>1.0693215911005628E-2</v>
      </c>
    </row>
    <row r="659" spans="1:3" x14ac:dyDescent="0.2">
      <c r="A659">
        <v>635</v>
      </c>
      <c r="B659">
        <v>-1.5984686229586896E-2</v>
      </c>
      <c r="C659">
        <v>3.6612103505048885E-2</v>
      </c>
    </row>
    <row r="660" spans="1:3" x14ac:dyDescent="0.2">
      <c r="A660">
        <v>636</v>
      </c>
      <c r="B660">
        <v>9.3055693166974283E-3</v>
      </c>
      <c r="C660">
        <v>5.4312727885657899E-3</v>
      </c>
    </row>
    <row r="661" spans="1:3" x14ac:dyDescent="0.2">
      <c r="A661">
        <v>637</v>
      </c>
      <c r="B661">
        <v>2.7029280551093056E-2</v>
      </c>
      <c r="C661">
        <v>-1.7070774327026729E-2</v>
      </c>
    </row>
    <row r="662" spans="1:3" x14ac:dyDescent="0.2">
      <c r="A662">
        <v>638</v>
      </c>
      <c r="B662">
        <v>1.9092293466466046E-2</v>
      </c>
      <c r="C662">
        <v>5.9693334850540632E-3</v>
      </c>
    </row>
    <row r="663" spans="1:3" x14ac:dyDescent="0.2">
      <c r="A663">
        <v>639</v>
      </c>
      <c r="B663">
        <v>-3.0286041388196279E-3</v>
      </c>
      <c r="C663">
        <v>-1.0598650370198403E-2</v>
      </c>
    </row>
    <row r="664" spans="1:3" x14ac:dyDescent="0.2">
      <c r="A664">
        <v>640</v>
      </c>
      <c r="B664">
        <v>-5.0055570564634709E-4</v>
      </c>
      <c r="C664">
        <v>1.7195723655407452E-3</v>
      </c>
    </row>
    <row r="665" spans="1:3" x14ac:dyDescent="0.2">
      <c r="A665">
        <v>641</v>
      </c>
      <c r="B665">
        <v>-7.5596184727731094E-3</v>
      </c>
      <c r="C665">
        <v>1.0661119792666103E-3</v>
      </c>
    </row>
    <row r="666" spans="1:3" x14ac:dyDescent="0.2">
      <c r="A666">
        <v>642</v>
      </c>
      <c r="B666">
        <v>-8.3286144444385708E-3</v>
      </c>
      <c r="C666">
        <v>3.4266536601248046E-3</v>
      </c>
    </row>
    <row r="667" spans="1:3" x14ac:dyDescent="0.2">
      <c r="A667">
        <v>643</v>
      </c>
      <c r="B667">
        <v>-6.1559001926713049E-3</v>
      </c>
      <c r="C667">
        <v>-8.2275333770628813E-4</v>
      </c>
    </row>
    <row r="668" spans="1:3" x14ac:dyDescent="0.2">
      <c r="A668">
        <v>644</v>
      </c>
      <c r="B668">
        <v>5.9239242321285695E-3</v>
      </c>
      <c r="C668">
        <v>1.4745773990277381E-2</v>
      </c>
    </row>
    <row r="669" spans="1:3" x14ac:dyDescent="0.2">
      <c r="A669">
        <v>645</v>
      </c>
      <c r="B669">
        <v>-4.2274409726655079E-4</v>
      </c>
      <c r="C669">
        <v>-1.1727924189489248E-2</v>
      </c>
    </row>
    <row r="670" spans="1:3" x14ac:dyDescent="0.2">
      <c r="A670">
        <v>646</v>
      </c>
      <c r="B670">
        <v>-6.269588243828692E-3</v>
      </c>
      <c r="C670">
        <v>2.1695472434186298E-3</v>
      </c>
    </row>
    <row r="671" spans="1:3" x14ac:dyDescent="0.2">
      <c r="A671">
        <v>647</v>
      </c>
      <c r="B671">
        <v>8.5029241905852128E-3</v>
      </c>
      <c r="C671">
        <v>3.8841662058900259E-2</v>
      </c>
    </row>
    <row r="672" spans="1:3" x14ac:dyDescent="0.2">
      <c r="A672">
        <v>648</v>
      </c>
      <c r="B672">
        <v>7.0491341611864482E-3</v>
      </c>
      <c r="C672">
        <v>-1.1529077460921645E-3</v>
      </c>
    </row>
    <row r="673" spans="1:3" x14ac:dyDescent="0.2">
      <c r="A673">
        <v>649</v>
      </c>
      <c r="B673">
        <v>-2.53221951947549E-3</v>
      </c>
      <c r="C673">
        <v>-2.9386675457843993E-3</v>
      </c>
    </row>
    <row r="674" spans="1:3" x14ac:dyDescent="0.2">
      <c r="A674">
        <v>650</v>
      </c>
      <c r="B674">
        <v>-5.555311644783149E-3</v>
      </c>
      <c r="C674">
        <v>2.5201677067180003E-2</v>
      </c>
    </row>
    <row r="675" spans="1:3" x14ac:dyDescent="0.2">
      <c r="A675">
        <v>651</v>
      </c>
      <c r="B675">
        <v>3.7196935966824694E-4</v>
      </c>
      <c r="C675">
        <v>2.3520130833010019E-2</v>
      </c>
    </row>
    <row r="676" spans="1:3" x14ac:dyDescent="0.2">
      <c r="A676">
        <v>652</v>
      </c>
      <c r="B676">
        <v>1.4411784353033281E-3</v>
      </c>
      <c r="C676">
        <v>2.7162509935039086E-2</v>
      </c>
    </row>
    <row r="677" spans="1:3" x14ac:dyDescent="0.2">
      <c r="A677">
        <v>653</v>
      </c>
      <c r="B677">
        <v>-8.7887170463798459E-3</v>
      </c>
      <c r="C677">
        <v>-2.5541296422406708E-3</v>
      </c>
    </row>
    <row r="678" spans="1:3" x14ac:dyDescent="0.2">
      <c r="A678">
        <v>654</v>
      </c>
      <c r="B678">
        <v>-9.6292652296265276E-3</v>
      </c>
      <c r="C678">
        <v>3.7685960416390663E-4</v>
      </c>
    </row>
    <row r="679" spans="1:3" x14ac:dyDescent="0.2">
      <c r="A679">
        <v>655</v>
      </c>
      <c r="B679">
        <v>-1.2938541990369085E-4</v>
      </c>
      <c r="C679">
        <v>1.9927667078476763E-2</v>
      </c>
    </row>
    <row r="680" spans="1:3" x14ac:dyDescent="0.2">
      <c r="A680">
        <v>656</v>
      </c>
      <c r="B680">
        <v>-3.6585205452323763E-3</v>
      </c>
      <c r="C680">
        <v>1.4607183474300953E-3</v>
      </c>
    </row>
    <row r="681" spans="1:3" x14ac:dyDescent="0.2">
      <c r="A681">
        <v>657</v>
      </c>
      <c r="B681">
        <v>-8.862515863106797E-4</v>
      </c>
      <c r="C681">
        <v>4.5573235393210109E-3</v>
      </c>
    </row>
    <row r="682" spans="1:3" x14ac:dyDescent="0.2">
      <c r="A682">
        <v>658</v>
      </c>
      <c r="B682">
        <v>-7.5231465342685371E-3</v>
      </c>
      <c r="C682">
        <v>-1.6209646581235616E-3</v>
      </c>
    </row>
    <row r="683" spans="1:3" x14ac:dyDescent="0.2">
      <c r="A683">
        <v>659</v>
      </c>
      <c r="B683">
        <v>-1.04641845793848E-2</v>
      </c>
      <c r="C683">
        <v>2.1538381700093576E-2</v>
      </c>
    </row>
    <row r="684" spans="1:3" x14ac:dyDescent="0.2">
      <c r="A684">
        <v>660</v>
      </c>
      <c r="B684">
        <v>1.8260990257236522E-3</v>
      </c>
      <c r="C684">
        <v>-4.3817762801960976E-3</v>
      </c>
    </row>
    <row r="685" spans="1:3" x14ac:dyDescent="0.2">
      <c r="A685">
        <v>661</v>
      </c>
      <c r="B685">
        <v>-8.4971381837508145E-3</v>
      </c>
      <c r="C685">
        <v>2.2406362195463811E-2</v>
      </c>
    </row>
    <row r="686" spans="1:3" x14ac:dyDescent="0.2">
      <c r="A686">
        <v>662</v>
      </c>
      <c r="B686">
        <v>-1.4626691270294241E-2</v>
      </c>
      <c r="C686">
        <v>-1.7142261798297781E-2</v>
      </c>
    </row>
    <row r="687" spans="1:3" x14ac:dyDescent="0.2">
      <c r="A687">
        <v>663</v>
      </c>
      <c r="B687">
        <v>-1.375733203658688E-2</v>
      </c>
      <c r="C687">
        <v>-2.2754792982378653E-3</v>
      </c>
    </row>
    <row r="688" spans="1:3" x14ac:dyDescent="0.2">
      <c r="A688">
        <v>664</v>
      </c>
      <c r="B688">
        <v>1.1114479130903679E-2</v>
      </c>
      <c r="C688">
        <v>-1.5661656091873782E-2</v>
      </c>
    </row>
    <row r="689" spans="1:3" x14ac:dyDescent="0.2">
      <c r="A689">
        <v>665</v>
      </c>
      <c r="B689">
        <v>-1.4326333081185494E-2</v>
      </c>
      <c r="C689">
        <v>-1.8410629233241591E-2</v>
      </c>
    </row>
    <row r="690" spans="1:3" x14ac:dyDescent="0.2">
      <c r="A690">
        <v>666</v>
      </c>
      <c r="B690">
        <v>1.2086369323360819E-2</v>
      </c>
      <c r="C690">
        <v>1.6248931739212928E-2</v>
      </c>
    </row>
    <row r="691" spans="1:3" x14ac:dyDescent="0.2">
      <c r="A691">
        <v>667</v>
      </c>
      <c r="B691">
        <v>-1.3700594802469618E-2</v>
      </c>
      <c r="C691">
        <v>-1.4619343965230285E-2</v>
      </c>
    </row>
    <row r="692" spans="1:3" x14ac:dyDescent="0.2">
      <c r="A692">
        <v>668</v>
      </c>
      <c r="B692">
        <v>-1.3811514259146706E-2</v>
      </c>
      <c r="C692">
        <v>-4.605457475227509E-2</v>
      </c>
    </row>
    <row r="693" spans="1:3" x14ac:dyDescent="0.2">
      <c r="A693">
        <v>669</v>
      </c>
      <c r="B693">
        <v>1.1658745330856394E-2</v>
      </c>
      <c r="C693">
        <v>2.1856126893693276E-2</v>
      </c>
    </row>
    <row r="694" spans="1:3" x14ac:dyDescent="0.2">
      <c r="A694">
        <v>670</v>
      </c>
      <c r="B694">
        <v>1.2547843316258238E-2</v>
      </c>
      <c r="C694">
        <v>3.4878180194078123E-2</v>
      </c>
    </row>
    <row r="695" spans="1:3" x14ac:dyDescent="0.2">
      <c r="A695">
        <v>671</v>
      </c>
      <c r="B695">
        <v>8.5623651559010392E-3</v>
      </c>
      <c r="C695">
        <v>-1.0110352772000078E-2</v>
      </c>
    </row>
    <row r="696" spans="1:3" x14ac:dyDescent="0.2">
      <c r="A696">
        <v>672</v>
      </c>
      <c r="B696">
        <v>-7.0927913144590155E-3</v>
      </c>
      <c r="C696">
        <v>1.8720698291203229E-2</v>
      </c>
    </row>
    <row r="697" spans="1:3" x14ac:dyDescent="0.2">
      <c r="A697">
        <v>673</v>
      </c>
      <c r="B697">
        <v>-3.806928761114449E-3</v>
      </c>
      <c r="C697">
        <v>1.6067465159581892E-2</v>
      </c>
    </row>
    <row r="698" spans="1:3" x14ac:dyDescent="0.2">
      <c r="A698">
        <v>674</v>
      </c>
      <c r="B698">
        <v>-1.084173250096475E-2</v>
      </c>
      <c r="C698">
        <v>-2.4058072416545308E-3</v>
      </c>
    </row>
    <row r="699" spans="1:3" x14ac:dyDescent="0.2">
      <c r="A699">
        <v>675</v>
      </c>
      <c r="B699">
        <v>-8.7771764094929459E-3</v>
      </c>
      <c r="C699">
        <v>2.6805561526485611E-2</v>
      </c>
    </row>
    <row r="700" spans="1:3" x14ac:dyDescent="0.2">
      <c r="A700">
        <v>676</v>
      </c>
      <c r="B700">
        <v>-3.7854550238235166E-3</v>
      </c>
      <c r="C700">
        <v>-4.5039195051892519E-3</v>
      </c>
    </row>
    <row r="701" spans="1:3" x14ac:dyDescent="0.2">
      <c r="A701">
        <v>677</v>
      </c>
      <c r="B701">
        <v>3.8198101851458451E-2</v>
      </c>
      <c r="C701">
        <v>1.5753265929696496E-2</v>
      </c>
    </row>
    <row r="702" spans="1:3" x14ac:dyDescent="0.2">
      <c r="A702">
        <v>678</v>
      </c>
      <c r="B702">
        <v>-8.9594603160868102E-3</v>
      </c>
      <c r="C702">
        <v>1.0040931116375244E-2</v>
      </c>
    </row>
    <row r="703" spans="1:3" x14ac:dyDescent="0.2">
      <c r="A703">
        <v>679</v>
      </c>
      <c r="B703">
        <v>1.4193697287930409E-2</v>
      </c>
      <c r="C703">
        <v>3.0911424672010451E-3</v>
      </c>
    </row>
    <row r="704" spans="1:3" x14ac:dyDescent="0.2">
      <c r="A704">
        <v>680</v>
      </c>
      <c r="B704">
        <v>-9.3408808201020648E-4</v>
      </c>
      <c r="C704">
        <v>2.6066831444842096E-2</v>
      </c>
    </row>
    <row r="705" spans="1:3" x14ac:dyDescent="0.2">
      <c r="A705">
        <v>681</v>
      </c>
      <c r="B705">
        <v>1.1885314390464046E-2</v>
      </c>
      <c r="C705">
        <v>-1.0504098920850816E-2</v>
      </c>
    </row>
    <row r="706" spans="1:3" x14ac:dyDescent="0.2">
      <c r="A706">
        <v>682</v>
      </c>
      <c r="B706">
        <v>-5.2783179272467354E-4</v>
      </c>
      <c r="C706">
        <v>-3.292044406934426E-2</v>
      </c>
    </row>
    <row r="707" spans="1:3" x14ac:dyDescent="0.2">
      <c r="A707">
        <v>683</v>
      </c>
      <c r="B707">
        <v>-1.401225687556569E-2</v>
      </c>
      <c r="C707">
        <v>-8.1069011693861819E-3</v>
      </c>
    </row>
    <row r="708" spans="1:3" x14ac:dyDescent="0.2">
      <c r="A708">
        <v>684</v>
      </c>
      <c r="B708">
        <v>7.3217966867035328E-3</v>
      </c>
      <c r="C708">
        <v>-2.8846787565944679E-2</v>
      </c>
    </row>
    <row r="709" spans="1:3" x14ac:dyDescent="0.2">
      <c r="A709">
        <v>685</v>
      </c>
      <c r="B709">
        <v>-3.4609708898672791E-3</v>
      </c>
      <c r="C709">
        <v>1.9866638302246147E-2</v>
      </c>
    </row>
    <row r="710" spans="1:3" x14ac:dyDescent="0.2">
      <c r="A710">
        <v>686</v>
      </c>
      <c r="B710">
        <v>1.3157560503652729E-2</v>
      </c>
      <c r="C710">
        <v>4.1501280288716982E-2</v>
      </c>
    </row>
    <row r="711" spans="1:3" x14ac:dyDescent="0.2">
      <c r="A711">
        <v>687</v>
      </c>
      <c r="B711">
        <v>-4.0002919065529321E-3</v>
      </c>
      <c r="C711">
        <v>-7.130142876055773E-3</v>
      </c>
    </row>
    <row r="712" spans="1:3" x14ac:dyDescent="0.2">
      <c r="A712">
        <v>688</v>
      </c>
      <c r="B712">
        <v>-1.4195972975982287E-2</v>
      </c>
      <c r="C712">
        <v>8.2981047158555907E-4</v>
      </c>
    </row>
    <row r="713" spans="1:3" x14ac:dyDescent="0.2">
      <c r="A713">
        <v>689</v>
      </c>
      <c r="B713">
        <v>-1.2835332896090864E-2</v>
      </c>
      <c r="C713">
        <v>2.8531582080337826E-3</v>
      </c>
    </row>
    <row r="714" spans="1:3" x14ac:dyDescent="0.2">
      <c r="A714">
        <v>690</v>
      </c>
      <c r="B714">
        <v>5.7229122041473589E-4</v>
      </c>
      <c r="C714">
        <v>5.0801126428101986E-4</v>
      </c>
    </row>
    <row r="715" spans="1:3" x14ac:dyDescent="0.2">
      <c r="A715">
        <v>691</v>
      </c>
      <c r="B715">
        <v>-7.7651453481079645E-3</v>
      </c>
      <c r="C715">
        <v>9.3061297400719948E-4</v>
      </c>
    </row>
    <row r="716" spans="1:3" x14ac:dyDescent="0.2">
      <c r="A716">
        <v>692</v>
      </c>
      <c r="B716">
        <v>4.0512065879921661E-3</v>
      </c>
      <c r="C716">
        <v>6.8144218075167342E-3</v>
      </c>
    </row>
    <row r="717" spans="1:3" x14ac:dyDescent="0.2">
      <c r="A717">
        <v>693</v>
      </c>
      <c r="B717">
        <v>-1.5034675096336655E-2</v>
      </c>
      <c r="C717">
        <v>1.933420931346317E-2</v>
      </c>
    </row>
    <row r="718" spans="1:3" x14ac:dyDescent="0.2">
      <c r="A718">
        <v>694</v>
      </c>
      <c r="B718">
        <v>-7.9090240609185312E-3</v>
      </c>
      <c r="C718">
        <v>-1.2426330915892039E-2</v>
      </c>
    </row>
    <row r="719" spans="1:3" x14ac:dyDescent="0.2">
      <c r="A719">
        <v>695</v>
      </c>
      <c r="B719">
        <v>-5.7521392409773907E-4</v>
      </c>
      <c r="C719">
        <v>-3.4020561749609442E-2</v>
      </c>
    </row>
    <row r="720" spans="1:3" x14ac:dyDescent="0.2">
      <c r="A720">
        <v>696</v>
      </c>
      <c r="B720">
        <v>-2.6597752335188612E-2</v>
      </c>
      <c r="C720">
        <v>-3.7151776144630361E-2</v>
      </c>
    </row>
    <row r="721" spans="1:3" x14ac:dyDescent="0.2">
      <c r="A721">
        <v>697</v>
      </c>
      <c r="B721">
        <v>2.3475574350640023E-2</v>
      </c>
      <c r="C721">
        <v>1.0771000991825784E-2</v>
      </c>
    </row>
    <row r="722" spans="1:3" x14ac:dyDescent="0.2">
      <c r="A722">
        <v>698</v>
      </c>
      <c r="B722">
        <v>3.345287839729278E-2</v>
      </c>
      <c r="C722">
        <v>-8.1314915644139889E-3</v>
      </c>
    </row>
    <row r="723" spans="1:3" x14ac:dyDescent="0.2">
      <c r="A723">
        <v>699</v>
      </c>
      <c r="B723">
        <v>8.0158799449446174E-3</v>
      </c>
      <c r="C723">
        <v>-2.0173934656190828E-2</v>
      </c>
    </row>
    <row r="724" spans="1:3" x14ac:dyDescent="0.2">
      <c r="A724">
        <v>700</v>
      </c>
      <c r="B724">
        <v>2.9904224626170078E-2</v>
      </c>
      <c r="C724">
        <v>8.557313835368386E-3</v>
      </c>
    </row>
    <row r="725" spans="1:3" x14ac:dyDescent="0.2">
      <c r="A725">
        <v>701</v>
      </c>
      <c r="B725">
        <v>-2.2523982333108742E-3</v>
      </c>
      <c r="C725">
        <v>9.659805640718255E-3</v>
      </c>
    </row>
    <row r="726" spans="1:3" x14ac:dyDescent="0.2">
      <c r="A726">
        <v>702</v>
      </c>
      <c r="B726">
        <v>1.2828981085612041E-2</v>
      </c>
      <c r="C726">
        <v>5.9210189143880168E-3</v>
      </c>
    </row>
    <row r="727" spans="1:3" x14ac:dyDescent="0.2">
      <c r="A727">
        <v>703</v>
      </c>
      <c r="B727">
        <v>3.4321991344453092E-4</v>
      </c>
      <c r="C727">
        <v>9.0396743485546757E-3</v>
      </c>
    </row>
    <row r="728" spans="1:3" x14ac:dyDescent="0.2">
      <c r="A728">
        <v>704</v>
      </c>
      <c r="B728">
        <v>-3.8486497848352085E-3</v>
      </c>
      <c r="C728">
        <v>-2.9443427071203774E-3</v>
      </c>
    </row>
    <row r="729" spans="1:3" x14ac:dyDescent="0.2">
      <c r="A729">
        <v>705</v>
      </c>
      <c r="B729">
        <v>1.2922899074262006E-2</v>
      </c>
      <c r="C729">
        <v>1.8359202201944421E-3</v>
      </c>
    </row>
    <row r="730" spans="1:3" x14ac:dyDescent="0.2">
      <c r="A730">
        <v>706</v>
      </c>
      <c r="B730">
        <v>-5.9422574694671382E-3</v>
      </c>
      <c r="C730">
        <v>1.5874857682308487E-2</v>
      </c>
    </row>
    <row r="731" spans="1:3" x14ac:dyDescent="0.2">
      <c r="A731">
        <v>707</v>
      </c>
      <c r="B731">
        <v>-8.6026327500520784E-3</v>
      </c>
      <c r="C731">
        <v>5.0901634841582291E-3</v>
      </c>
    </row>
    <row r="732" spans="1:3" x14ac:dyDescent="0.2">
      <c r="A732">
        <v>708</v>
      </c>
      <c r="B732">
        <v>8.841247631106039E-3</v>
      </c>
      <c r="C732">
        <v>2.2882404113694757E-2</v>
      </c>
    </row>
    <row r="733" spans="1:3" x14ac:dyDescent="0.2">
      <c r="A733">
        <v>709</v>
      </c>
      <c r="B733">
        <v>1.1211591850377989E-3</v>
      </c>
      <c r="C733">
        <v>1.9719291788655384E-2</v>
      </c>
    </row>
    <row r="734" spans="1:3" x14ac:dyDescent="0.2">
      <c r="A734">
        <v>710</v>
      </c>
      <c r="B734">
        <v>-1.5668446130145831E-2</v>
      </c>
      <c r="C734">
        <v>4.2895974018995163E-3</v>
      </c>
    </row>
    <row r="735" spans="1:3" x14ac:dyDescent="0.2">
      <c r="A735">
        <v>711</v>
      </c>
      <c r="B735">
        <v>3.5983279572935581E-2</v>
      </c>
      <c r="C735">
        <v>7.0092728982898631E-3</v>
      </c>
    </row>
    <row r="736" spans="1:3" x14ac:dyDescent="0.2">
      <c r="A736">
        <v>712</v>
      </c>
      <c r="B736">
        <v>4.1183563374044352E-3</v>
      </c>
      <c r="C736">
        <v>8.5398715106968504E-3</v>
      </c>
    </row>
    <row r="737" spans="1:3" x14ac:dyDescent="0.2">
      <c r="A737">
        <v>713</v>
      </c>
      <c r="B737">
        <v>-2.3731677547576709E-2</v>
      </c>
      <c r="C737">
        <v>2.5778313937305508E-3</v>
      </c>
    </row>
    <row r="738" spans="1:3" x14ac:dyDescent="0.2">
      <c r="A738">
        <v>714</v>
      </c>
      <c r="B738">
        <v>1.0237965888487317E-2</v>
      </c>
      <c r="C738">
        <v>-8.7343753582198522E-5</v>
      </c>
    </row>
    <row r="739" spans="1:3" x14ac:dyDescent="0.2">
      <c r="A739">
        <v>715</v>
      </c>
      <c r="B739">
        <v>-7.7503178394088359E-4</v>
      </c>
      <c r="C739">
        <v>-1.1218485233887349E-2</v>
      </c>
    </row>
    <row r="740" spans="1:3" x14ac:dyDescent="0.2">
      <c r="A740">
        <v>716</v>
      </c>
      <c r="B740">
        <v>-1.5619162022732181E-2</v>
      </c>
      <c r="C740">
        <v>-8.3309692108636344E-3</v>
      </c>
    </row>
    <row r="741" spans="1:3" x14ac:dyDescent="0.2">
      <c r="A741">
        <v>717</v>
      </c>
      <c r="B741">
        <v>-6.2908852113831727E-3</v>
      </c>
      <c r="C741">
        <v>-3.7931484020622287E-3</v>
      </c>
    </row>
    <row r="742" spans="1:3" x14ac:dyDescent="0.2">
      <c r="A742">
        <v>718</v>
      </c>
      <c r="B742">
        <v>-4.3057692635632625E-3</v>
      </c>
      <c r="C742">
        <v>7.7013550021032091E-3</v>
      </c>
    </row>
    <row r="743" spans="1:3" x14ac:dyDescent="0.2">
      <c r="A743">
        <v>719</v>
      </c>
      <c r="B743">
        <v>-2.8402731705073096E-3</v>
      </c>
      <c r="C743">
        <v>-2.2878846964856533E-2</v>
      </c>
    </row>
    <row r="744" spans="1:3" x14ac:dyDescent="0.2">
      <c r="A744">
        <v>720</v>
      </c>
      <c r="B744">
        <v>-1.0847300903517938E-2</v>
      </c>
      <c r="C744">
        <v>-2.0413553559837344E-2</v>
      </c>
    </row>
    <row r="745" spans="1:3" x14ac:dyDescent="0.2">
      <c r="A745">
        <v>721</v>
      </c>
      <c r="B745">
        <v>3.7570572121149539E-3</v>
      </c>
      <c r="C745">
        <v>4.8481776390861368E-3</v>
      </c>
    </row>
    <row r="746" spans="1:3" x14ac:dyDescent="0.2">
      <c r="A746">
        <v>722</v>
      </c>
      <c r="B746">
        <v>-1.5023576933729031E-3</v>
      </c>
      <c r="C746">
        <v>3.5985116314062648E-2</v>
      </c>
    </row>
    <row r="747" spans="1:3" x14ac:dyDescent="0.2">
      <c r="A747">
        <v>723</v>
      </c>
      <c r="B747">
        <v>2.7047232506857283E-3</v>
      </c>
      <c r="C747">
        <v>-1.163943115446585E-2</v>
      </c>
    </row>
    <row r="748" spans="1:3" x14ac:dyDescent="0.2">
      <c r="A748">
        <v>724</v>
      </c>
      <c r="B748">
        <v>1.0037236043627886E-2</v>
      </c>
      <c r="C748">
        <v>1.3194386702558026E-2</v>
      </c>
    </row>
    <row r="749" spans="1:3" x14ac:dyDescent="0.2">
      <c r="A749">
        <v>725</v>
      </c>
      <c r="B749">
        <v>-3.5905346633630396E-4</v>
      </c>
      <c r="C749">
        <v>-2.4717191874226281E-2</v>
      </c>
    </row>
    <row r="750" spans="1:3" x14ac:dyDescent="0.2">
      <c r="A750">
        <v>726</v>
      </c>
      <c r="B750">
        <v>-5.0817889044611321E-3</v>
      </c>
      <c r="C750">
        <v>7.1672946396018587E-3</v>
      </c>
    </row>
    <row r="751" spans="1:3" x14ac:dyDescent="0.2">
      <c r="A751">
        <v>727</v>
      </c>
      <c r="B751">
        <v>3.3113724904726542E-3</v>
      </c>
      <c r="C751">
        <v>-1.8920113385373777E-2</v>
      </c>
    </row>
    <row r="752" spans="1:3" x14ac:dyDescent="0.2">
      <c r="A752">
        <v>728</v>
      </c>
      <c r="B752">
        <v>2.6940988354524726E-3</v>
      </c>
      <c r="C752">
        <v>-6.5700678277005146E-3</v>
      </c>
    </row>
    <row r="753" spans="1:3" x14ac:dyDescent="0.2">
      <c r="A753">
        <v>729</v>
      </c>
      <c r="B753">
        <v>-1.6933135658784505E-2</v>
      </c>
      <c r="C753">
        <v>5.2599839078118025E-3</v>
      </c>
    </row>
    <row r="754" spans="1:3" x14ac:dyDescent="0.2">
      <c r="A754">
        <v>730</v>
      </c>
      <c r="B754">
        <v>-1.2875066379114359E-2</v>
      </c>
      <c r="C754">
        <v>-6.8099729909644052E-3</v>
      </c>
    </row>
    <row r="755" spans="1:3" x14ac:dyDescent="0.2">
      <c r="A755">
        <v>731</v>
      </c>
      <c r="B755">
        <v>2.2198587578603521E-3</v>
      </c>
      <c r="C755">
        <v>1.1653817766418545E-2</v>
      </c>
    </row>
    <row r="756" spans="1:3" x14ac:dyDescent="0.2">
      <c r="A756">
        <v>732</v>
      </c>
      <c r="B756">
        <v>-1.4828470337041838E-3</v>
      </c>
      <c r="C756">
        <v>1.7327283475908048E-2</v>
      </c>
    </row>
    <row r="757" spans="1:3" x14ac:dyDescent="0.2">
      <c r="A757">
        <v>733</v>
      </c>
      <c r="B757">
        <v>3.406770105526064E-3</v>
      </c>
      <c r="C757">
        <v>1.8925736097947846E-2</v>
      </c>
    </row>
    <row r="758" spans="1:3" x14ac:dyDescent="0.2">
      <c r="A758">
        <v>734</v>
      </c>
      <c r="B758">
        <v>4.7157488284524877E-3</v>
      </c>
      <c r="C758">
        <v>-2.0812053441646074E-4</v>
      </c>
    </row>
    <row r="759" spans="1:3" x14ac:dyDescent="0.2">
      <c r="A759">
        <v>735</v>
      </c>
      <c r="B759">
        <v>-4.3703176536095609E-3</v>
      </c>
      <c r="C759">
        <v>-2.2554086902828049E-2</v>
      </c>
    </row>
    <row r="760" spans="1:3" x14ac:dyDescent="0.2">
      <c r="A760">
        <v>736</v>
      </c>
      <c r="B760">
        <v>6.0145799069773933E-3</v>
      </c>
      <c r="C760">
        <v>-1.8785065894916485E-2</v>
      </c>
    </row>
    <row r="761" spans="1:3" x14ac:dyDescent="0.2">
      <c r="A761">
        <v>737</v>
      </c>
      <c r="B761">
        <v>2.2526355876911791E-2</v>
      </c>
      <c r="C761">
        <v>-1.1027972837026764E-2</v>
      </c>
    </row>
    <row r="762" spans="1:3" x14ac:dyDescent="0.2">
      <c r="A762">
        <v>738</v>
      </c>
      <c r="B762">
        <v>-2.0877711623092481E-3</v>
      </c>
      <c r="C762">
        <v>-4.661784787957101E-3</v>
      </c>
    </row>
    <row r="763" spans="1:3" x14ac:dyDescent="0.2">
      <c r="A763">
        <v>739</v>
      </c>
      <c r="B763">
        <v>2.4190224060792174E-3</v>
      </c>
      <c r="C763">
        <v>2.7623896048856397E-2</v>
      </c>
    </row>
    <row r="764" spans="1:3" x14ac:dyDescent="0.2">
      <c r="A764">
        <v>740</v>
      </c>
      <c r="B764">
        <v>-8.9345986730604947E-3</v>
      </c>
      <c r="C764">
        <v>4.1573487561949299E-2</v>
      </c>
    </row>
    <row r="765" spans="1:3" x14ac:dyDescent="0.2">
      <c r="A765">
        <v>741</v>
      </c>
      <c r="B765">
        <v>6.6019919092638289E-3</v>
      </c>
      <c r="C765">
        <v>-4.9207545185442356E-3</v>
      </c>
    </row>
    <row r="766" spans="1:3" x14ac:dyDescent="0.2">
      <c r="A766">
        <v>742</v>
      </c>
      <c r="B766">
        <v>-2.9549245338882524E-3</v>
      </c>
      <c r="C766">
        <v>-1.0136716956544799E-2</v>
      </c>
    </row>
    <row r="767" spans="1:3" x14ac:dyDescent="0.2">
      <c r="A767">
        <v>743</v>
      </c>
      <c r="B767">
        <v>-1.7334568169810529E-3</v>
      </c>
      <c r="C767">
        <v>-6.0896724347195225E-3</v>
      </c>
    </row>
    <row r="768" spans="1:3" x14ac:dyDescent="0.2">
      <c r="A768">
        <v>744</v>
      </c>
      <c r="B768">
        <v>6.833840856732578E-3</v>
      </c>
      <c r="C768">
        <v>-1.5747107911926322E-2</v>
      </c>
    </row>
    <row r="769" spans="1:3" x14ac:dyDescent="0.2">
      <c r="A769">
        <v>745</v>
      </c>
      <c r="B769">
        <v>8.0980219491930839E-3</v>
      </c>
      <c r="C769">
        <v>7.8134273762998554E-3</v>
      </c>
    </row>
    <row r="770" spans="1:3" x14ac:dyDescent="0.2">
      <c r="A770">
        <v>746</v>
      </c>
      <c r="B770">
        <v>-5.4723335873624801E-3</v>
      </c>
      <c r="C770">
        <v>-1.2573291199835378E-2</v>
      </c>
    </row>
    <row r="771" spans="1:3" x14ac:dyDescent="0.2">
      <c r="A771">
        <v>747</v>
      </c>
      <c r="B771">
        <v>-1.0728039738594148E-2</v>
      </c>
      <c r="C771">
        <v>7.9541146345720147E-3</v>
      </c>
    </row>
    <row r="772" spans="1:3" x14ac:dyDescent="0.2">
      <c r="A772">
        <v>748</v>
      </c>
      <c r="B772">
        <v>5.7054665387820305E-3</v>
      </c>
      <c r="C772">
        <v>-1.4050390043649972E-2</v>
      </c>
    </row>
    <row r="773" spans="1:3" x14ac:dyDescent="0.2">
      <c r="A773">
        <v>749</v>
      </c>
      <c r="B773">
        <v>2.8554234932810806E-3</v>
      </c>
      <c r="C773">
        <v>-5.0374404921969384E-5</v>
      </c>
    </row>
    <row r="774" spans="1:3" x14ac:dyDescent="0.2">
      <c r="A774">
        <v>750</v>
      </c>
      <c r="B774">
        <v>1.6599065023885267E-3</v>
      </c>
      <c r="C774">
        <v>3.9344990920170721E-3</v>
      </c>
    </row>
    <row r="775" spans="1:3" x14ac:dyDescent="0.2">
      <c r="A775">
        <v>751</v>
      </c>
      <c r="B775">
        <v>1.2833438063164643E-3</v>
      </c>
      <c r="C775">
        <v>1.8535849517744618E-2</v>
      </c>
    </row>
    <row r="776" spans="1:3" x14ac:dyDescent="0.2">
      <c r="A776">
        <v>752</v>
      </c>
      <c r="B776">
        <v>-5.2430402981362709E-3</v>
      </c>
      <c r="C776">
        <v>-6.0082382562448517E-3</v>
      </c>
    </row>
    <row r="777" spans="1:3" x14ac:dyDescent="0.2">
      <c r="A777">
        <v>753</v>
      </c>
      <c r="B777">
        <v>-5.6541265844201657E-3</v>
      </c>
      <c r="C777">
        <v>-9.1734596224763761E-3</v>
      </c>
    </row>
    <row r="778" spans="1:3" x14ac:dyDescent="0.2">
      <c r="A778">
        <v>754</v>
      </c>
      <c r="B778">
        <v>-1.1094496416610677E-2</v>
      </c>
      <c r="C778">
        <v>1.1094496416610677E-2</v>
      </c>
    </row>
    <row r="779" spans="1:3" x14ac:dyDescent="0.2">
      <c r="A779">
        <v>755</v>
      </c>
      <c r="B779">
        <v>7.2995378039047952E-3</v>
      </c>
      <c r="C779">
        <v>-2.0492752907791886E-3</v>
      </c>
    </row>
    <row r="780" spans="1:3" x14ac:dyDescent="0.2">
      <c r="A780">
        <v>756</v>
      </c>
      <c r="B780">
        <v>-8.9413982750126304E-3</v>
      </c>
      <c r="C780">
        <v>-7.7716936469929554E-3</v>
      </c>
    </row>
    <row r="781" spans="1:3" x14ac:dyDescent="0.2">
      <c r="A781">
        <v>757</v>
      </c>
      <c r="B781">
        <v>1.6394964769539735E-2</v>
      </c>
      <c r="C781">
        <v>-1.6394964769539735E-2</v>
      </c>
    </row>
    <row r="782" spans="1:3" x14ac:dyDescent="0.2">
      <c r="A782">
        <v>758</v>
      </c>
      <c r="B782">
        <v>2.7566536555063961E-3</v>
      </c>
      <c r="C782">
        <v>5.0337146164483645E-3</v>
      </c>
    </row>
    <row r="783" spans="1:3" x14ac:dyDescent="0.2">
      <c r="A783">
        <v>759</v>
      </c>
      <c r="B783">
        <v>-1.6364418398361091E-5</v>
      </c>
      <c r="C783">
        <v>-2.4432279920022109E-3</v>
      </c>
    </row>
    <row r="784" spans="1:3" x14ac:dyDescent="0.2">
      <c r="A784">
        <v>760</v>
      </c>
      <c r="B784">
        <v>-1.041267022127094E-3</v>
      </c>
      <c r="C784">
        <v>-1.1639254288193422E-2</v>
      </c>
    </row>
    <row r="785" spans="1:3" x14ac:dyDescent="0.2">
      <c r="A785">
        <v>761</v>
      </c>
      <c r="B785">
        <v>-4.7043915114218628E-3</v>
      </c>
      <c r="C785">
        <v>1.647749176115423E-2</v>
      </c>
    </row>
    <row r="786" spans="1:3" x14ac:dyDescent="0.2">
      <c r="A786">
        <v>762</v>
      </c>
      <c r="B786">
        <v>4.9834289270293433E-5</v>
      </c>
      <c r="C786">
        <v>1.0079936373870106E-3</v>
      </c>
    </row>
    <row r="787" spans="1:3" x14ac:dyDescent="0.2">
      <c r="A787">
        <v>763</v>
      </c>
      <c r="B787">
        <v>-4.4020371131114195E-4</v>
      </c>
      <c r="C787">
        <v>-8.3657138653003404E-3</v>
      </c>
    </row>
    <row r="788" spans="1:3" x14ac:dyDescent="0.2">
      <c r="A788">
        <v>764</v>
      </c>
      <c r="B788">
        <v>-6.2719456403016296E-3</v>
      </c>
      <c r="C788">
        <v>-6.1658653049720532E-3</v>
      </c>
    </row>
    <row r="789" spans="1:3" x14ac:dyDescent="0.2">
      <c r="A789">
        <v>765</v>
      </c>
      <c r="B789">
        <v>-3.0994991177661868E-4</v>
      </c>
      <c r="C789">
        <v>-1.8041975241156017E-2</v>
      </c>
    </row>
    <row r="790" spans="1:3" x14ac:dyDescent="0.2">
      <c r="A790">
        <v>766</v>
      </c>
      <c r="B790">
        <v>-2.7722012216488275E-3</v>
      </c>
      <c r="C790">
        <v>1.3769268670329075E-2</v>
      </c>
    </row>
    <row r="791" spans="1:3" x14ac:dyDescent="0.2">
      <c r="A791">
        <v>767</v>
      </c>
      <c r="B791">
        <v>-9.1098691636830754E-3</v>
      </c>
      <c r="C791">
        <v>-1.1557280945091281E-2</v>
      </c>
    </row>
    <row r="792" spans="1:3" x14ac:dyDescent="0.2">
      <c r="A792">
        <v>768</v>
      </c>
      <c r="B792">
        <v>-8.228623646025425E-3</v>
      </c>
      <c r="C792">
        <v>-1.1763971689035764E-2</v>
      </c>
    </row>
    <row r="793" spans="1:3" x14ac:dyDescent="0.2">
      <c r="A793">
        <v>769</v>
      </c>
      <c r="B793">
        <v>3.8892254774330605E-4</v>
      </c>
      <c r="C793">
        <v>-1.8144872679968425E-2</v>
      </c>
    </row>
    <row r="794" spans="1:3" x14ac:dyDescent="0.2">
      <c r="A794">
        <v>770</v>
      </c>
      <c r="B794">
        <v>4.0209825284315409E-3</v>
      </c>
      <c r="C794">
        <v>-9.0209825284315037E-3</v>
      </c>
    </row>
    <row r="795" spans="1:3" x14ac:dyDescent="0.2">
      <c r="A795">
        <v>771</v>
      </c>
      <c r="B795">
        <v>2.4623417554992875E-3</v>
      </c>
      <c r="C795">
        <v>4.1089763736077145E-3</v>
      </c>
    </row>
    <row r="796" spans="1:3" x14ac:dyDescent="0.2">
      <c r="A796">
        <v>772</v>
      </c>
      <c r="B796">
        <v>-1.1181306243875892E-2</v>
      </c>
      <c r="C796">
        <v>4.652888425135563E-3</v>
      </c>
    </row>
    <row r="797" spans="1:3" x14ac:dyDescent="0.2">
      <c r="A797">
        <v>773</v>
      </c>
      <c r="B797">
        <v>-9.42170659494675E-3</v>
      </c>
      <c r="C797">
        <v>7.8755140939802751E-3</v>
      </c>
    </row>
    <row r="798" spans="1:3" x14ac:dyDescent="0.2">
      <c r="A798">
        <v>774</v>
      </c>
      <c r="B798">
        <v>6.5581133600133281E-3</v>
      </c>
      <c r="C798">
        <v>1.5122103442154783E-2</v>
      </c>
    </row>
    <row r="799" spans="1:3" x14ac:dyDescent="0.2">
      <c r="A799">
        <v>775</v>
      </c>
      <c r="B799">
        <v>6.5218265494492679E-3</v>
      </c>
      <c r="C799">
        <v>3.2508109032210498E-2</v>
      </c>
    </row>
    <row r="800" spans="1:3" x14ac:dyDescent="0.2">
      <c r="A800">
        <v>776</v>
      </c>
      <c r="B800">
        <v>-1.5254811225780221E-2</v>
      </c>
      <c r="C800">
        <v>-3.7094484386983734E-3</v>
      </c>
    </row>
    <row r="801" spans="1:3" x14ac:dyDescent="0.2">
      <c r="A801">
        <v>777</v>
      </c>
      <c r="B801">
        <v>2.3899189250186605E-2</v>
      </c>
      <c r="C801">
        <v>1.8108245694051412E-2</v>
      </c>
    </row>
    <row r="802" spans="1:3" x14ac:dyDescent="0.2">
      <c r="A802">
        <v>778</v>
      </c>
      <c r="B802">
        <v>-2.1652438846631806E-2</v>
      </c>
      <c r="C802">
        <v>1.237666289229711E-2</v>
      </c>
    </row>
    <row r="803" spans="1:3" x14ac:dyDescent="0.2">
      <c r="A803">
        <v>779</v>
      </c>
      <c r="B803">
        <v>1.3387358043297387E-2</v>
      </c>
      <c r="C803">
        <v>-1.6268164669152565E-2</v>
      </c>
    </row>
    <row r="804" spans="1:3" x14ac:dyDescent="0.2">
      <c r="A804">
        <v>780</v>
      </c>
      <c r="B804">
        <v>1.8020650321301835E-2</v>
      </c>
      <c r="C804">
        <v>3.9755119549115744E-4</v>
      </c>
    </row>
    <row r="805" spans="1:3" x14ac:dyDescent="0.2">
      <c r="A805">
        <v>781</v>
      </c>
      <c r="B805">
        <v>-7.0227956307652648E-3</v>
      </c>
      <c r="C805">
        <v>3.1220864109071287E-3</v>
      </c>
    </row>
    <row r="806" spans="1:3" x14ac:dyDescent="0.2">
      <c r="A806">
        <v>782</v>
      </c>
      <c r="B806">
        <v>5.0526537982218157E-3</v>
      </c>
      <c r="C806">
        <v>1.8443252218154123E-2</v>
      </c>
    </row>
    <row r="807" spans="1:3" x14ac:dyDescent="0.2">
      <c r="A807">
        <v>783</v>
      </c>
      <c r="B807">
        <v>-1.4606688878203891E-2</v>
      </c>
      <c r="C807">
        <v>7.9979932260299327E-3</v>
      </c>
    </row>
    <row r="808" spans="1:3" x14ac:dyDescent="0.2">
      <c r="A808">
        <v>784</v>
      </c>
      <c r="B808">
        <v>-5.3309182894437524E-3</v>
      </c>
      <c r="C808">
        <v>7.0816185695558222E-3</v>
      </c>
    </row>
    <row r="809" spans="1:3" x14ac:dyDescent="0.2">
      <c r="A809">
        <v>785</v>
      </c>
      <c r="B809">
        <v>-4.4336964113873105E-3</v>
      </c>
      <c r="C809">
        <v>5.8888690422200353E-4</v>
      </c>
    </row>
    <row r="810" spans="1:3" x14ac:dyDescent="0.2">
      <c r="A810">
        <v>786</v>
      </c>
      <c r="B810">
        <v>2.7402263489362252E-2</v>
      </c>
      <c r="C810">
        <v>-2.108647401567805E-2</v>
      </c>
    </row>
    <row r="811" spans="1:3" x14ac:dyDescent="0.2">
      <c r="A811">
        <v>787</v>
      </c>
      <c r="B811">
        <v>9.0962337382579795E-3</v>
      </c>
      <c r="C811">
        <v>1.7054393876804783E-2</v>
      </c>
    </row>
    <row r="812" spans="1:3" x14ac:dyDescent="0.2">
      <c r="A812">
        <v>788</v>
      </c>
      <c r="B812">
        <v>-6.181486942429263E-3</v>
      </c>
      <c r="C812">
        <v>-1.9734569923311324E-3</v>
      </c>
    </row>
    <row r="813" spans="1:3" x14ac:dyDescent="0.2">
      <c r="A813">
        <v>789</v>
      </c>
      <c r="B813">
        <v>2.5669046114059711E-3</v>
      </c>
      <c r="C813">
        <v>-3.5797463021820575E-2</v>
      </c>
    </row>
    <row r="814" spans="1:3" x14ac:dyDescent="0.2">
      <c r="A814">
        <v>790</v>
      </c>
      <c r="B814">
        <v>-2.5435688065517268E-3</v>
      </c>
      <c r="C814">
        <v>1.9198423519521338E-2</v>
      </c>
    </row>
    <row r="815" spans="1:3" x14ac:dyDescent="0.2">
      <c r="A815">
        <v>791</v>
      </c>
      <c r="B815">
        <v>-3.4790701932117039E-3</v>
      </c>
      <c r="C815">
        <v>1.8118317317645238E-2</v>
      </c>
    </row>
    <row r="816" spans="1:3" x14ac:dyDescent="0.2">
      <c r="A816">
        <v>792</v>
      </c>
      <c r="B816">
        <v>-7.9755383236188842E-3</v>
      </c>
      <c r="C816">
        <v>7.9755383236188842E-3</v>
      </c>
    </row>
    <row r="817" spans="1:3" x14ac:dyDescent="0.2">
      <c r="A817">
        <v>793</v>
      </c>
      <c r="B817">
        <v>2.4262863923050687E-2</v>
      </c>
      <c r="C817">
        <v>7.6849203435243665E-3</v>
      </c>
    </row>
    <row r="818" spans="1:3" x14ac:dyDescent="0.2">
      <c r="A818">
        <v>794</v>
      </c>
      <c r="B818">
        <v>2.8277399067705711E-3</v>
      </c>
      <c r="C818">
        <v>2.1473192183775382E-2</v>
      </c>
    </row>
    <row r="819" spans="1:3" x14ac:dyDescent="0.2">
      <c r="A819">
        <v>795</v>
      </c>
      <c r="B819">
        <v>-6.4721515900059115E-4</v>
      </c>
      <c r="C819">
        <v>1.1046955165500439E-2</v>
      </c>
    </row>
    <row r="820" spans="1:3" x14ac:dyDescent="0.2">
      <c r="A820">
        <v>796</v>
      </c>
      <c r="B820">
        <v>2.3999460853666715E-4</v>
      </c>
      <c r="C820">
        <v>5.2280015317014063E-3</v>
      </c>
    </row>
    <row r="821" spans="1:3" x14ac:dyDescent="0.2">
      <c r="A821">
        <v>797</v>
      </c>
      <c r="B821">
        <v>-7.1466389890755926E-3</v>
      </c>
      <c r="C821">
        <v>5.8670484580454364E-3</v>
      </c>
    </row>
    <row r="822" spans="1:3" x14ac:dyDescent="0.2">
      <c r="A822">
        <v>798</v>
      </c>
      <c r="B822">
        <v>4.5073461102461574E-3</v>
      </c>
      <c r="C822">
        <v>-6.6365616790147472E-4</v>
      </c>
    </row>
    <row r="823" spans="1:3" x14ac:dyDescent="0.2">
      <c r="A823">
        <v>799</v>
      </c>
      <c r="B823">
        <v>1.4361795902590117E-3</v>
      </c>
      <c r="C823">
        <v>-1.4837583546863931E-2</v>
      </c>
    </row>
    <row r="824" spans="1:3" x14ac:dyDescent="0.2">
      <c r="A824">
        <v>800</v>
      </c>
      <c r="B824">
        <v>-5.8266044530470556E-3</v>
      </c>
      <c r="C824">
        <v>-6.1397603593721217E-3</v>
      </c>
    </row>
    <row r="825" spans="1:3" x14ac:dyDescent="0.2">
      <c r="A825">
        <v>801</v>
      </c>
      <c r="B825">
        <v>-4.846742878692291E-3</v>
      </c>
      <c r="C825">
        <v>2.2195351716662752E-2</v>
      </c>
    </row>
    <row r="826" spans="1:3" x14ac:dyDescent="0.2">
      <c r="A826">
        <v>802</v>
      </c>
      <c r="B826">
        <v>1.4475233580646192E-3</v>
      </c>
      <c r="C826">
        <v>-3.0562749668161366E-3</v>
      </c>
    </row>
    <row r="827" spans="1:3" x14ac:dyDescent="0.2">
      <c r="A827">
        <v>803</v>
      </c>
      <c r="B827">
        <v>6.1399614123551789E-3</v>
      </c>
      <c r="C827">
        <v>-5.4954238680432364E-3</v>
      </c>
    </row>
    <row r="828" spans="1:3" x14ac:dyDescent="0.2">
      <c r="A828">
        <v>804</v>
      </c>
      <c r="B828">
        <v>-6.0303814901284227E-3</v>
      </c>
      <c r="C828">
        <v>2.1656471906114825E-3</v>
      </c>
    </row>
    <row r="829" spans="1:3" x14ac:dyDescent="0.2">
      <c r="A829">
        <v>805</v>
      </c>
      <c r="B829">
        <v>-2.2738177872519325E-3</v>
      </c>
      <c r="C829">
        <v>2.9204391904203639E-3</v>
      </c>
    </row>
    <row r="830" spans="1:3" x14ac:dyDescent="0.2">
      <c r="A830">
        <v>806</v>
      </c>
      <c r="B830">
        <v>-6.0829059419217337E-3</v>
      </c>
      <c r="C830">
        <v>1.8683875247252932E-2</v>
      </c>
    </row>
    <row r="831" spans="1:3" x14ac:dyDescent="0.2">
      <c r="A831">
        <v>807</v>
      </c>
      <c r="B831">
        <v>1.4387743336932966E-3</v>
      </c>
      <c r="C831">
        <v>-1.2287529917611608E-2</v>
      </c>
    </row>
    <row r="832" spans="1:3" x14ac:dyDescent="0.2">
      <c r="A832">
        <v>808</v>
      </c>
      <c r="B832">
        <v>5.5487645514395445E-3</v>
      </c>
      <c r="C832">
        <v>-5.1677796809504052E-2</v>
      </c>
    </row>
    <row r="833" spans="1:3" x14ac:dyDescent="0.2">
      <c r="A833">
        <v>809</v>
      </c>
      <c r="B833">
        <v>1.9446016566282431E-4</v>
      </c>
      <c r="C833">
        <v>-1.5412586645202874E-2</v>
      </c>
    </row>
    <row r="834" spans="1:3" x14ac:dyDescent="0.2">
      <c r="A834">
        <v>810</v>
      </c>
      <c r="B834">
        <v>1.2162044766831847E-2</v>
      </c>
      <c r="C834">
        <v>8.605224094745384E-2</v>
      </c>
    </row>
    <row r="835" spans="1:3" x14ac:dyDescent="0.2">
      <c r="A835">
        <v>811</v>
      </c>
      <c r="B835">
        <v>7.5068846222551468E-3</v>
      </c>
      <c r="C835">
        <v>-1.3760793315188207E-2</v>
      </c>
    </row>
    <row r="836" spans="1:3" x14ac:dyDescent="0.2">
      <c r="A836">
        <v>812</v>
      </c>
      <c r="B836">
        <v>-6.1734282633037789E-3</v>
      </c>
      <c r="C836">
        <v>-4.5251242854690297E-3</v>
      </c>
    </row>
    <row r="837" spans="1:3" x14ac:dyDescent="0.2">
      <c r="A837">
        <v>813</v>
      </c>
      <c r="B837">
        <v>-1.1753197215503704E-3</v>
      </c>
      <c r="C837">
        <v>1.8114520370719853E-3</v>
      </c>
    </row>
    <row r="838" spans="1:3" x14ac:dyDescent="0.2">
      <c r="A838">
        <v>814</v>
      </c>
      <c r="B838">
        <v>-4.1169065604307132E-3</v>
      </c>
      <c r="C838">
        <v>5.388362377341048E-3</v>
      </c>
    </row>
    <row r="839" spans="1:3" x14ac:dyDescent="0.2">
      <c r="A839">
        <v>815</v>
      </c>
      <c r="B839">
        <v>-4.4352060848643158E-3</v>
      </c>
      <c r="C839">
        <v>-2.2314605818023782E-3</v>
      </c>
    </row>
    <row r="840" spans="1:3" x14ac:dyDescent="0.2">
      <c r="A840">
        <v>816</v>
      </c>
      <c r="B840">
        <v>1.2794612612652043E-4</v>
      </c>
      <c r="C840">
        <v>8.3082664472682369E-4</v>
      </c>
    </row>
    <row r="841" spans="1:3" x14ac:dyDescent="0.2">
      <c r="A841">
        <v>817</v>
      </c>
      <c r="B841">
        <v>-4.5774420211957762E-3</v>
      </c>
      <c r="C841">
        <v>1.3198131676368175E-2</v>
      </c>
    </row>
    <row r="842" spans="1:3" x14ac:dyDescent="0.2">
      <c r="A842">
        <v>818</v>
      </c>
      <c r="B842">
        <v>-3.7390793794860001E-4</v>
      </c>
      <c r="C842">
        <v>-5.9572095042799301E-3</v>
      </c>
    </row>
    <row r="843" spans="1:3" x14ac:dyDescent="0.2">
      <c r="A843">
        <v>819</v>
      </c>
      <c r="B843">
        <v>-4.8039398500960813E-3</v>
      </c>
      <c r="C843">
        <v>5.4410854378628727E-3</v>
      </c>
    </row>
    <row r="844" spans="1:3" x14ac:dyDescent="0.2">
      <c r="A844">
        <v>820</v>
      </c>
      <c r="B844">
        <v>1.4007399529492616E-3</v>
      </c>
      <c r="C844">
        <v>1.1970797773889267E-2</v>
      </c>
    </row>
    <row r="845" spans="1:3" x14ac:dyDescent="0.2">
      <c r="A845">
        <v>821</v>
      </c>
      <c r="B845">
        <v>-1.5891284670564162E-2</v>
      </c>
      <c r="C845">
        <v>-1.2383927393526277E-2</v>
      </c>
    </row>
    <row r="846" spans="1:3" x14ac:dyDescent="0.2">
      <c r="A846">
        <v>822</v>
      </c>
      <c r="B846">
        <v>4.8776920083232339E-3</v>
      </c>
      <c r="C846">
        <v>-9.9796358931253252E-4</v>
      </c>
    </row>
    <row r="847" spans="1:3" x14ac:dyDescent="0.2">
      <c r="A847">
        <v>823</v>
      </c>
      <c r="B847">
        <v>-7.7077582156174392E-3</v>
      </c>
      <c r="C847">
        <v>-7.7511789824502072E-3</v>
      </c>
    </row>
    <row r="848" spans="1:3" x14ac:dyDescent="0.2">
      <c r="A848">
        <v>824</v>
      </c>
      <c r="B848">
        <v>8.7486756705811158E-3</v>
      </c>
      <c r="C848">
        <v>1.3919851079598963E-3</v>
      </c>
    </row>
    <row r="849" spans="1:3" x14ac:dyDescent="0.2">
      <c r="A849">
        <v>825</v>
      </c>
      <c r="B849">
        <v>-5.7166892340202082E-3</v>
      </c>
      <c r="C849">
        <v>1.964155970034144E-2</v>
      </c>
    </row>
    <row r="850" spans="1:3" x14ac:dyDescent="0.2">
      <c r="A850">
        <v>826</v>
      </c>
      <c r="B850">
        <v>-1.6205613665963464E-4</v>
      </c>
      <c r="C850">
        <v>-1.1974641404062149E-2</v>
      </c>
    </row>
    <row r="851" spans="1:3" x14ac:dyDescent="0.2">
      <c r="A851">
        <v>827</v>
      </c>
      <c r="B851">
        <v>-2.202504779745288E-3</v>
      </c>
      <c r="C851">
        <v>-1.978262292798183E-2</v>
      </c>
    </row>
    <row r="852" spans="1:3" x14ac:dyDescent="0.2">
      <c r="A852">
        <v>828</v>
      </c>
      <c r="B852">
        <v>-1.3083048994829871E-2</v>
      </c>
      <c r="C852">
        <v>3.1656936229290215E-3</v>
      </c>
    </row>
    <row r="853" spans="1:3" x14ac:dyDescent="0.2">
      <c r="A853">
        <v>829</v>
      </c>
      <c r="B853">
        <v>-9.4023381268980195E-3</v>
      </c>
      <c r="C853">
        <v>-6.1435636392003466E-4</v>
      </c>
    </row>
    <row r="854" spans="1:3" x14ac:dyDescent="0.2">
      <c r="A854">
        <v>830</v>
      </c>
      <c r="B854">
        <v>5.4579853422321136E-3</v>
      </c>
      <c r="C854">
        <v>-1.355242041811739E-2</v>
      </c>
    </row>
    <row r="855" spans="1:3" x14ac:dyDescent="0.2">
      <c r="A855">
        <v>831</v>
      </c>
      <c r="B855">
        <v>1.1627168832647987E-2</v>
      </c>
      <c r="C855">
        <v>-1.1967189233872114E-2</v>
      </c>
    </row>
    <row r="856" spans="1:3" x14ac:dyDescent="0.2">
      <c r="A856">
        <v>832</v>
      </c>
      <c r="B856">
        <v>-2.5602872245487976E-3</v>
      </c>
      <c r="C856">
        <v>-1.5807059714226683E-2</v>
      </c>
    </row>
    <row r="857" spans="1:3" x14ac:dyDescent="0.2">
      <c r="A857">
        <v>833</v>
      </c>
      <c r="B857">
        <v>2.2911419243427556E-3</v>
      </c>
      <c r="C857">
        <v>-4.7166443498451909E-3</v>
      </c>
    </row>
    <row r="858" spans="1:3" x14ac:dyDescent="0.2">
      <c r="A858">
        <v>834</v>
      </c>
      <c r="B858">
        <v>-3.4696239999036571E-3</v>
      </c>
      <c r="C858">
        <v>-1.2508146059144652E-2</v>
      </c>
    </row>
    <row r="859" spans="1:3" x14ac:dyDescent="0.2">
      <c r="A859">
        <v>835</v>
      </c>
      <c r="B859">
        <v>-1.4383732744158264E-3</v>
      </c>
      <c r="C859">
        <v>2.8503040898059679E-3</v>
      </c>
    </row>
    <row r="860" spans="1:3" x14ac:dyDescent="0.2">
      <c r="A860">
        <v>836</v>
      </c>
      <c r="B860">
        <v>-1.0120295348289229E-2</v>
      </c>
      <c r="C860">
        <v>7.3004151931957556E-3</v>
      </c>
    </row>
    <row r="861" spans="1:3" x14ac:dyDescent="0.2">
      <c r="A861">
        <v>837</v>
      </c>
      <c r="B861">
        <v>1.1415586210552636E-2</v>
      </c>
      <c r="C861">
        <v>8.7328761436361348E-3</v>
      </c>
    </row>
    <row r="862" spans="1:3" x14ac:dyDescent="0.2">
      <c r="A862">
        <v>838</v>
      </c>
      <c r="B862">
        <v>-2.8137699116994063E-3</v>
      </c>
      <c r="C862">
        <v>-4.4627373648079005E-3</v>
      </c>
    </row>
    <row r="863" spans="1:3" x14ac:dyDescent="0.2">
      <c r="A863">
        <v>839</v>
      </c>
      <c r="B863">
        <v>-1.1506235330639065E-2</v>
      </c>
      <c r="C863">
        <v>-5.2476913709315065E-3</v>
      </c>
    </row>
    <row r="864" spans="1:3" x14ac:dyDescent="0.2">
      <c r="A864">
        <v>840</v>
      </c>
      <c r="B864">
        <v>9.4258761825942762E-3</v>
      </c>
      <c r="C864">
        <v>1.1873378343497235E-2</v>
      </c>
    </row>
    <row r="865" spans="1:3" x14ac:dyDescent="0.2">
      <c r="A865">
        <v>841</v>
      </c>
      <c r="B865">
        <v>-5.4390333167007247E-4</v>
      </c>
      <c r="C865">
        <v>1.5866561992404979E-3</v>
      </c>
    </row>
    <row r="866" spans="1:3" x14ac:dyDescent="0.2">
      <c r="A866">
        <v>842</v>
      </c>
      <c r="B866">
        <v>-7.8143305283298811E-3</v>
      </c>
      <c r="C866">
        <v>-1.9078916938923812E-3</v>
      </c>
    </row>
    <row r="867" spans="1:3" x14ac:dyDescent="0.2">
      <c r="A867">
        <v>843</v>
      </c>
      <c r="B867">
        <v>7.0529530463083762E-3</v>
      </c>
      <c r="C867">
        <v>-1.0922237335453432E-3</v>
      </c>
    </row>
    <row r="868" spans="1:3" x14ac:dyDescent="0.2">
      <c r="A868">
        <v>844</v>
      </c>
      <c r="B868">
        <v>-3.4729842348696924E-3</v>
      </c>
      <c r="C868">
        <v>-7.3321743569742344E-3</v>
      </c>
    </row>
    <row r="869" spans="1:3" x14ac:dyDescent="0.2">
      <c r="A869">
        <v>845</v>
      </c>
      <c r="B869">
        <v>9.4003123435471296E-4</v>
      </c>
      <c r="C869">
        <v>-2.3494745042630691E-3</v>
      </c>
    </row>
    <row r="870" spans="1:3" x14ac:dyDescent="0.2">
      <c r="A870">
        <v>846</v>
      </c>
      <c r="B870">
        <v>7.8893036237295778E-4</v>
      </c>
      <c r="C870">
        <v>1.0855388621395632E-2</v>
      </c>
    </row>
    <row r="871" spans="1:3" x14ac:dyDescent="0.2">
      <c r="A871">
        <v>847</v>
      </c>
      <c r="B871">
        <v>-6.8068470171341097E-3</v>
      </c>
      <c r="C871">
        <v>-8.5402056511603187E-3</v>
      </c>
    </row>
    <row r="872" spans="1:3" x14ac:dyDescent="0.2">
      <c r="A872">
        <v>848</v>
      </c>
      <c r="B872">
        <v>1.9486935430897154E-3</v>
      </c>
      <c r="C872">
        <v>1.576296072541896E-2</v>
      </c>
    </row>
    <row r="873" spans="1:3" x14ac:dyDescent="0.2">
      <c r="A873">
        <v>849</v>
      </c>
      <c r="B873">
        <v>6.5580261798988994E-3</v>
      </c>
      <c r="C873">
        <v>-1.07348448363556E-2</v>
      </c>
    </row>
    <row r="874" spans="1:3" x14ac:dyDescent="0.2">
      <c r="A874">
        <v>850</v>
      </c>
      <c r="B874">
        <v>-1.8099412975000565E-2</v>
      </c>
      <c r="C874">
        <v>1.6701300426940475E-2</v>
      </c>
    </row>
    <row r="875" spans="1:3" x14ac:dyDescent="0.2">
      <c r="A875">
        <v>851</v>
      </c>
      <c r="B875">
        <v>2.3229164285467438E-2</v>
      </c>
      <c r="C875">
        <v>-2.112905928021722E-2</v>
      </c>
    </row>
    <row r="876" spans="1:3" x14ac:dyDescent="0.2">
      <c r="A876">
        <v>852</v>
      </c>
      <c r="B876">
        <v>-4.1681555737798602E-3</v>
      </c>
      <c r="C876">
        <v>-2.2028142016160761E-2</v>
      </c>
    </row>
    <row r="877" spans="1:3" x14ac:dyDescent="0.2">
      <c r="A877">
        <v>853</v>
      </c>
      <c r="B877">
        <v>5.2360267394461523E-3</v>
      </c>
      <c r="C877">
        <v>-1.0974907657667104E-2</v>
      </c>
    </row>
    <row r="878" spans="1:3" x14ac:dyDescent="0.2">
      <c r="A878">
        <v>854</v>
      </c>
      <c r="B878">
        <v>-2.9402454826725174E-4</v>
      </c>
      <c r="C878">
        <v>4.9837792380220333E-3</v>
      </c>
    </row>
    <row r="879" spans="1:3" x14ac:dyDescent="0.2">
      <c r="A879">
        <v>855</v>
      </c>
      <c r="B879">
        <v>-9.455475069791228E-3</v>
      </c>
      <c r="C879">
        <v>-1.5320108413153162E-2</v>
      </c>
    </row>
    <row r="880" spans="1:3" x14ac:dyDescent="0.2">
      <c r="A880">
        <v>856</v>
      </c>
      <c r="B880">
        <v>-3.2930791776076065E-3</v>
      </c>
      <c r="C880">
        <v>-5.9116336353526294E-3</v>
      </c>
    </row>
    <row r="881" spans="1:3" x14ac:dyDescent="0.2">
      <c r="A881">
        <v>857</v>
      </c>
      <c r="B881">
        <v>-6.3732008860118167E-3</v>
      </c>
      <c r="C881">
        <v>9.3460734241016825E-3</v>
      </c>
    </row>
    <row r="882" spans="1:3" x14ac:dyDescent="0.2">
      <c r="A882">
        <v>858</v>
      </c>
      <c r="B882">
        <v>3.1786501247613999E-3</v>
      </c>
      <c r="C882">
        <v>4.9725169741642187E-3</v>
      </c>
    </row>
    <row r="883" spans="1:3" x14ac:dyDescent="0.2">
      <c r="A883">
        <v>859</v>
      </c>
      <c r="B883">
        <v>-2.0186080704394788E-3</v>
      </c>
      <c r="C883">
        <v>1.1941430562170443E-2</v>
      </c>
    </row>
    <row r="884" spans="1:3" x14ac:dyDescent="0.2">
      <c r="A884">
        <v>860</v>
      </c>
      <c r="B884">
        <v>1.7329868481423621E-3</v>
      </c>
      <c r="C884">
        <v>-2.06558398321307E-2</v>
      </c>
    </row>
    <row r="885" spans="1:3" x14ac:dyDescent="0.2">
      <c r="A885">
        <v>861</v>
      </c>
      <c r="B885">
        <v>-5.6830190380453786E-3</v>
      </c>
      <c r="C885">
        <v>-3.9608978759012661E-3</v>
      </c>
    </row>
    <row r="886" spans="1:3" x14ac:dyDescent="0.2">
      <c r="A886">
        <v>862</v>
      </c>
      <c r="B886">
        <v>-7.2528660131611859E-3</v>
      </c>
      <c r="C886">
        <v>-2.1104298669886272E-3</v>
      </c>
    </row>
    <row r="887" spans="1:3" x14ac:dyDescent="0.2">
      <c r="A887">
        <v>863</v>
      </c>
      <c r="B887">
        <v>-1.3207266404000585E-2</v>
      </c>
      <c r="C887">
        <v>1.5853769239539347E-2</v>
      </c>
    </row>
    <row r="888" spans="1:3" x14ac:dyDescent="0.2">
      <c r="A888">
        <v>864</v>
      </c>
      <c r="B888">
        <v>2.2651903264659682E-3</v>
      </c>
      <c r="C888">
        <v>-9.0525206432080403E-3</v>
      </c>
    </row>
    <row r="889" spans="1:3" x14ac:dyDescent="0.2">
      <c r="A889">
        <v>865</v>
      </c>
      <c r="B889">
        <v>2.7204145265752439E-3</v>
      </c>
      <c r="C889">
        <v>-1.3350634723993662E-2</v>
      </c>
    </row>
    <row r="890" spans="1:3" x14ac:dyDescent="0.2">
      <c r="A890">
        <v>866</v>
      </c>
      <c r="B890">
        <v>-1.3829843645796978E-2</v>
      </c>
      <c r="C890">
        <v>2.0353251166902186E-2</v>
      </c>
    </row>
    <row r="891" spans="1:3" x14ac:dyDescent="0.2">
      <c r="A891">
        <v>867</v>
      </c>
      <c r="B891">
        <v>-2.3591509660004675E-3</v>
      </c>
      <c r="C891">
        <v>-1.1746834546771206E-2</v>
      </c>
    </row>
    <row r="892" spans="1:3" x14ac:dyDescent="0.2">
      <c r="A892">
        <v>868</v>
      </c>
      <c r="B892">
        <v>2.7850483562751657E-3</v>
      </c>
      <c r="C892">
        <v>-2.8307090119616241E-2</v>
      </c>
    </row>
    <row r="893" spans="1:3" x14ac:dyDescent="0.2">
      <c r="A893">
        <v>869</v>
      </c>
      <c r="B893">
        <v>-1.2783345153677596E-2</v>
      </c>
      <c r="C893">
        <v>1.2754086457411225E-3</v>
      </c>
    </row>
    <row r="894" spans="1:3" x14ac:dyDescent="0.2">
      <c r="A894">
        <v>870</v>
      </c>
      <c r="B894">
        <v>-2.0841483100417536E-3</v>
      </c>
      <c r="C894">
        <v>-3.5360845281758521E-3</v>
      </c>
    </row>
    <row r="895" spans="1:3" x14ac:dyDescent="0.2">
      <c r="A895">
        <v>871</v>
      </c>
      <c r="B895">
        <v>-2.4343590994830564E-3</v>
      </c>
      <c r="C895">
        <v>2.4343590994830564E-3</v>
      </c>
    </row>
    <row r="896" spans="1:3" x14ac:dyDescent="0.2">
      <c r="A896">
        <v>872</v>
      </c>
      <c r="B896">
        <v>-1.5352192268391634E-2</v>
      </c>
      <c r="C896">
        <v>1.2221963055334233E-3</v>
      </c>
    </row>
    <row r="897" spans="1:3" x14ac:dyDescent="0.2">
      <c r="A897">
        <v>873</v>
      </c>
      <c r="B897">
        <v>2.3270978941887573E-2</v>
      </c>
      <c r="C897">
        <v>4.1655484946397855E-3</v>
      </c>
    </row>
    <row r="898" spans="1:3" x14ac:dyDescent="0.2">
      <c r="A898">
        <v>874</v>
      </c>
      <c r="B898">
        <v>-7.7159203959976854E-3</v>
      </c>
      <c r="C898">
        <v>1.3694397877065783E-2</v>
      </c>
    </row>
    <row r="899" spans="1:3" x14ac:dyDescent="0.2">
      <c r="A899">
        <v>875</v>
      </c>
      <c r="B899">
        <v>-3.0809220772334538E-3</v>
      </c>
      <c r="C899">
        <v>6.2504941849989785E-3</v>
      </c>
    </row>
    <row r="900" spans="1:3" x14ac:dyDescent="0.2">
      <c r="A900">
        <v>876</v>
      </c>
      <c r="B900">
        <v>-5.5284260907849068E-3</v>
      </c>
      <c r="C900">
        <v>-2.4092426989783814E-2</v>
      </c>
    </row>
    <row r="901" spans="1:3" x14ac:dyDescent="0.2">
      <c r="A901">
        <v>877</v>
      </c>
      <c r="B901">
        <v>1.2396492479426393E-2</v>
      </c>
      <c r="C901">
        <v>-1.6873496956430846E-2</v>
      </c>
    </row>
    <row r="902" spans="1:3" x14ac:dyDescent="0.2">
      <c r="A902">
        <v>878</v>
      </c>
      <c r="B902">
        <v>8.5268737946526327E-3</v>
      </c>
      <c r="C902">
        <v>-1.5885827187947798E-2</v>
      </c>
    </row>
    <row r="903" spans="1:3" x14ac:dyDescent="0.2">
      <c r="A903">
        <v>879</v>
      </c>
      <c r="B903">
        <v>1.4957280460200638E-2</v>
      </c>
      <c r="C903">
        <v>1.5171841197004557E-3</v>
      </c>
    </row>
    <row r="904" spans="1:3" x14ac:dyDescent="0.2">
      <c r="A904">
        <v>880</v>
      </c>
      <c r="B904">
        <v>-1.6321306519745924E-2</v>
      </c>
      <c r="C904">
        <v>1.9967983991382873E-2</v>
      </c>
    </row>
    <row r="905" spans="1:3" x14ac:dyDescent="0.2">
      <c r="A905">
        <v>881</v>
      </c>
      <c r="B905">
        <v>-3.5363817289499797E-3</v>
      </c>
      <c r="C905">
        <v>1.4032950158501921E-2</v>
      </c>
    </row>
    <row r="906" spans="1:3" x14ac:dyDescent="0.2">
      <c r="A906">
        <v>882</v>
      </c>
      <c r="B906">
        <v>6.3719575167345216E-3</v>
      </c>
      <c r="C906">
        <v>1.919735930308172E-2</v>
      </c>
    </row>
    <row r="907" spans="1:3" x14ac:dyDescent="0.2">
      <c r="A907">
        <v>883</v>
      </c>
      <c r="B907">
        <v>-3.7856303551706705E-3</v>
      </c>
      <c r="C907">
        <v>4.9543097474572927E-3</v>
      </c>
    </row>
    <row r="908" spans="1:3" x14ac:dyDescent="0.2">
      <c r="A908">
        <v>884</v>
      </c>
      <c r="B908">
        <v>-6.5534108532997399E-3</v>
      </c>
      <c r="C908">
        <v>-3.1189779808178816E-2</v>
      </c>
    </row>
    <row r="909" spans="1:3" x14ac:dyDescent="0.2">
      <c r="A909">
        <v>885</v>
      </c>
      <c r="B909">
        <v>4.4770046857685043E-4</v>
      </c>
      <c r="C909">
        <v>1.0470212996849739E-2</v>
      </c>
    </row>
    <row r="910" spans="1:3" x14ac:dyDescent="0.2">
      <c r="A910">
        <v>886</v>
      </c>
      <c r="B910">
        <v>9.346385347176309E-3</v>
      </c>
      <c r="C910">
        <v>-2.1463853471763205E-3</v>
      </c>
    </row>
    <row r="911" spans="1:3" x14ac:dyDescent="0.2">
      <c r="A911">
        <v>887</v>
      </c>
      <c r="B911">
        <v>-4.6954568813832335E-3</v>
      </c>
      <c r="C911">
        <v>1.3035409224512736E-2</v>
      </c>
    </row>
    <row r="912" spans="1:3" x14ac:dyDescent="0.2">
      <c r="A912">
        <v>888</v>
      </c>
      <c r="B912">
        <v>-4.4526650374897472E-3</v>
      </c>
      <c r="C912">
        <v>1.6956740961742577E-3</v>
      </c>
    </row>
    <row r="913" spans="1:3" x14ac:dyDescent="0.2">
      <c r="A913">
        <v>889</v>
      </c>
      <c r="B913">
        <v>1.9002568183463327E-3</v>
      </c>
      <c r="C913">
        <v>9.5531397061402058E-3</v>
      </c>
    </row>
    <row r="914" spans="1:3" x14ac:dyDescent="0.2">
      <c r="A914">
        <v>890</v>
      </c>
      <c r="B914">
        <v>2.0003117222765847E-3</v>
      </c>
      <c r="C914">
        <v>-4.3842183551363488E-4</v>
      </c>
    </row>
    <row r="915" spans="1:3" x14ac:dyDescent="0.2">
      <c r="A915">
        <v>891</v>
      </c>
      <c r="B915">
        <v>-1.7279665845140811E-3</v>
      </c>
      <c r="C915">
        <v>3.759541297827633E-2</v>
      </c>
    </row>
    <row r="916" spans="1:3" x14ac:dyDescent="0.2">
      <c r="A916">
        <v>892</v>
      </c>
      <c r="B916">
        <v>-9.3944726052646518E-3</v>
      </c>
      <c r="C916">
        <v>-1.6198301199778619E-2</v>
      </c>
    </row>
    <row r="917" spans="1:3" x14ac:dyDescent="0.2">
      <c r="A917">
        <v>893</v>
      </c>
      <c r="B917">
        <v>3.8064061938463483E-3</v>
      </c>
      <c r="C917">
        <v>1.8209816285875563E-2</v>
      </c>
    </row>
    <row r="918" spans="1:3" x14ac:dyDescent="0.2">
      <c r="A918">
        <v>894</v>
      </c>
      <c r="B918">
        <v>7.7283183186099566E-3</v>
      </c>
      <c r="C918">
        <v>8.5226265037634252E-3</v>
      </c>
    </row>
    <row r="919" spans="1:3" x14ac:dyDescent="0.2">
      <c r="A919">
        <v>895</v>
      </c>
      <c r="B919">
        <v>-6.0683464267385565E-4</v>
      </c>
      <c r="C919">
        <v>9.7872010195232395E-4</v>
      </c>
    </row>
    <row r="920" spans="1:3" x14ac:dyDescent="0.2">
      <c r="A920">
        <v>896</v>
      </c>
      <c r="B920">
        <v>-1.658000803852449E-3</v>
      </c>
      <c r="C920">
        <v>-1.0981404400608512E-2</v>
      </c>
    </row>
    <row r="921" spans="1:3" x14ac:dyDescent="0.2">
      <c r="A921">
        <v>897</v>
      </c>
      <c r="B921">
        <v>-6.5930973064593943E-3</v>
      </c>
      <c r="C921">
        <v>1.1111169595616059E-2</v>
      </c>
    </row>
    <row r="922" spans="1:3" x14ac:dyDescent="0.2">
      <c r="A922">
        <v>898</v>
      </c>
      <c r="B922">
        <v>-8.8271997606945915E-3</v>
      </c>
      <c r="C922">
        <v>-1.6675528629936064E-3</v>
      </c>
    </row>
    <row r="923" spans="1:3" x14ac:dyDescent="0.2">
      <c r="A923">
        <v>899</v>
      </c>
      <c r="B923">
        <v>-1.2403434865843883E-3</v>
      </c>
      <c r="C923">
        <v>3.1342828805238092E-3</v>
      </c>
    </row>
    <row r="924" spans="1:3" x14ac:dyDescent="0.2">
      <c r="A924">
        <v>900</v>
      </c>
      <c r="B924">
        <v>4.5065636984045398E-3</v>
      </c>
      <c r="C924">
        <v>1.137245331482804E-2</v>
      </c>
    </row>
    <row r="925" spans="1:3" x14ac:dyDescent="0.2">
      <c r="A925">
        <v>901</v>
      </c>
      <c r="B925">
        <v>-5.7598021019572717E-4</v>
      </c>
      <c r="C925">
        <v>-9.8445631467079242E-3</v>
      </c>
    </row>
    <row r="926" spans="1:3" x14ac:dyDescent="0.2">
      <c r="A926">
        <v>902</v>
      </c>
      <c r="B926">
        <v>-1.2919619167337748E-2</v>
      </c>
      <c r="C926">
        <v>-9.6452548454490673E-3</v>
      </c>
    </row>
    <row r="927" spans="1:3" x14ac:dyDescent="0.2">
      <c r="A927">
        <v>903</v>
      </c>
      <c r="B927">
        <v>-7.8780608518500064E-3</v>
      </c>
      <c r="C927">
        <v>-6.3581838576535505E-3</v>
      </c>
    </row>
    <row r="928" spans="1:3" x14ac:dyDescent="0.2">
      <c r="A928">
        <v>904</v>
      </c>
      <c r="B928">
        <v>-1.2560499945573086E-2</v>
      </c>
      <c r="C928">
        <v>2.7392662318719029E-2</v>
      </c>
    </row>
    <row r="929" spans="1:3" x14ac:dyDescent="0.2">
      <c r="A929">
        <v>905</v>
      </c>
      <c r="B929">
        <v>-8.661783075923208E-3</v>
      </c>
      <c r="C929">
        <v>4.431013845153999E-3</v>
      </c>
    </row>
    <row r="930" spans="1:3" x14ac:dyDescent="0.2">
      <c r="A930">
        <v>906</v>
      </c>
      <c r="B930">
        <v>-8.7185139020794084E-3</v>
      </c>
      <c r="C930">
        <v>-1.4842706646394883E-2</v>
      </c>
    </row>
    <row r="931" spans="1:3" x14ac:dyDescent="0.2">
      <c r="A931">
        <v>907</v>
      </c>
      <c r="B931">
        <v>1.1833679764405892E-2</v>
      </c>
      <c r="C931">
        <v>2.2976446817872545E-2</v>
      </c>
    </row>
    <row r="932" spans="1:3" x14ac:dyDescent="0.2">
      <c r="A932">
        <v>908</v>
      </c>
      <c r="B932">
        <v>4.5618417050700289E-3</v>
      </c>
      <c r="C932">
        <v>6.5237852062449229E-3</v>
      </c>
    </row>
    <row r="933" spans="1:3" x14ac:dyDescent="0.2">
      <c r="A933">
        <v>909</v>
      </c>
      <c r="B933">
        <v>-7.4657247749312771E-3</v>
      </c>
      <c r="C933">
        <v>-7.6571485710043973E-3</v>
      </c>
    </row>
    <row r="934" spans="1:3" x14ac:dyDescent="0.2">
      <c r="A934">
        <v>910</v>
      </c>
      <c r="B934">
        <v>-1.7916432422868617E-3</v>
      </c>
      <c r="C934">
        <v>2.5593975609048874E-3</v>
      </c>
    </row>
    <row r="935" spans="1:3" x14ac:dyDescent="0.2">
      <c r="A935">
        <v>911</v>
      </c>
      <c r="B935">
        <v>-5.140946980107728E-3</v>
      </c>
      <c r="C935">
        <v>1.3051203594709264E-3</v>
      </c>
    </row>
    <row r="936" spans="1:3" x14ac:dyDescent="0.2">
      <c r="A936">
        <v>912</v>
      </c>
      <c r="B936">
        <v>1.289739404578223E-3</v>
      </c>
      <c r="C936">
        <v>1.7193125439472622E-2</v>
      </c>
    </row>
    <row r="937" spans="1:3" x14ac:dyDescent="0.2">
      <c r="A937">
        <v>913</v>
      </c>
      <c r="B937">
        <v>-6.61588346396603E-3</v>
      </c>
      <c r="C937">
        <v>8.5062426322080227E-3</v>
      </c>
    </row>
    <row r="938" spans="1:3" x14ac:dyDescent="0.2">
      <c r="A938">
        <v>914</v>
      </c>
      <c r="B938">
        <v>7.75239670220014E-3</v>
      </c>
      <c r="C938">
        <v>-5.4882457588039616E-3</v>
      </c>
    </row>
    <row r="939" spans="1:3" x14ac:dyDescent="0.2">
      <c r="A939">
        <v>915</v>
      </c>
      <c r="B939">
        <v>7.7743529367967608E-3</v>
      </c>
      <c r="C939">
        <v>-4.6930979442820826E-2</v>
      </c>
    </row>
    <row r="940" spans="1:3" x14ac:dyDescent="0.2">
      <c r="A940">
        <v>916</v>
      </c>
      <c r="B940">
        <v>5.3240673924200722E-3</v>
      </c>
      <c r="C940">
        <v>9.1743652094608448E-3</v>
      </c>
    </row>
    <row r="941" spans="1:3" x14ac:dyDescent="0.2">
      <c r="A941">
        <v>917</v>
      </c>
      <c r="B941">
        <v>-1.0908697620906618E-2</v>
      </c>
      <c r="C941">
        <v>-2.3467509408834616E-2</v>
      </c>
    </row>
    <row r="942" spans="1:3" x14ac:dyDescent="0.2">
      <c r="A942">
        <v>918</v>
      </c>
      <c r="B942">
        <v>-1.0371265618629151E-3</v>
      </c>
      <c r="C942">
        <v>2.6237126561862875E-2</v>
      </c>
    </row>
    <row r="943" spans="1:3" x14ac:dyDescent="0.2">
      <c r="A943">
        <v>919</v>
      </c>
      <c r="B943">
        <v>-1.133066274702892E-2</v>
      </c>
      <c r="C943">
        <v>3.9174750763306078E-3</v>
      </c>
    </row>
    <row r="944" spans="1:3" x14ac:dyDescent="0.2">
      <c r="A944">
        <v>920</v>
      </c>
      <c r="B944">
        <v>-1.2626852102119871E-3</v>
      </c>
      <c r="C944">
        <v>-8.957440575951596E-3</v>
      </c>
    </row>
    <row r="945" spans="1:3" x14ac:dyDescent="0.2">
      <c r="A945">
        <v>921</v>
      </c>
      <c r="B945">
        <v>9.4382222998040249E-3</v>
      </c>
      <c r="C945">
        <v>-9.8353628875720162E-3</v>
      </c>
    </row>
    <row r="946" spans="1:3" x14ac:dyDescent="0.2">
      <c r="A946">
        <v>922</v>
      </c>
      <c r="B946">
        <v>-5.4208909383595544E-3</v>
      </c>
      <c r="C946">
        <v>2.4491212750040001E-2</v>
      </c>
    </row>
    <row r="947" spans="1:3" x14ac:dyDescent="0.2">
      <c r="A947">
        <v>923</v>
      </c>
      <c r="B947">
        <v>-5.4061319541730234E-3</v>
      </c>
      <c r="C947">
        <v>1.5074964765902604E-3</v>
      </c>
    </row>
    <row r="948" spans="1:3" x14ac:dyDescent="0.2">
      <c r="A948">
        <v>924</v>
      </c>
      <c r="B948">
        <v>1.0244005285690302E-2</v>
      </c>
      <c r="C948">
        <v>1.8718812718223531E-2</v>
      </c>
    </row>
    <row r="949" spans="1:3" x14ac:dyDescent="0.2">
      <c r="A949">
        <v>925</v>
      </c>
      <c r="B949">
        <v>1.1906828848923799E-2</v>
      </c>
      <c r="C949">
        <v>1.0915537069676485E-2</v>
      </c>
    </row>
    <row r="950" spans="1:3" x14ac:dyDescent="0.2">
      <c r="A950">
        <v>926</v>
      </c>
      <c r="B950">
        <v>-1.0586149043356365E-2</v>
      </c>
      <c r="C950">
        <v>-2.4298420313926643E-3</v>
      </c>
    </row>
    <row r="951" spans="1:3" x14ac:dyDescent="0.2">
      <c r="A951">
        <v>927</v>
      </c>
      <c r="B951">
        <v>5.6783664771072979E-3</v>
      </c>
      <c r="C951">
        <v>6.0021158137744763E-3</v>
      </c>
    </row>
    <row r="952" spans="1:3" x14ac:dyDescent="0.2">
      <c r="A952">
        <v>928</v>
      </c>
      <c r="B952">
        <v>-1.8527249897683628E-2</v>
      </c>
      <c r="C952">
        <v>1.5920173547590507E-2</v>
      </c>
    </row>
    <row r="953" spans="1:3" x14ac:dyDescent="0.2">
      <c r="A953">
        <v>929</v>
      </c>
      <c r="B953">
        <v>2.979826832376278E-2</v>
      </c>
      <c r="C953">
        <v>-1.2621270564240849E-2</v>
      </c>
    </row>
    <row r="954" spans="1:3" x14ac:dyDescent="0.2">
      <c r="A954">
        <v>930</v>
      </c>
      <c r="B954">
        <v>-1.0229057091847994E-2</v>
      </c>
      <c r="C954">
        <v>2.3077808927384022E-2</v>
      </c>
    </row>
    <row r="955" spans="1:3" x14ac:dyDescent="0.2">
      <c r="A955">
        <v>931</v>
      </c>
      <c r="B955">
        <v>1.0766374237680024E-2</v>
      </c>
      <c r="C955">
        <v>-6.7794224435517372E-3</v>
      </c>
    </row>
    <row r="956" spans="1:3" x14ac:dyDescent="0.2">
      <c r="A956">
        <v>932</v>
      </c>
      <c r="B956">
        <v>-8.961539012833173E-3</v>
      </c>
      <c r="C956">
        <v>2.4123993886479445E-2</v>
      </c>
    </row>
    <row r="957" spans="1:3" x14ac:dyDescent="0.2">
      <c r="A957">
        <v>933</v>
      </c>
      <c r="B957">
        <v>2.0112002240970262E-4</v>
      </c>
      <c r="C957">
        <v>2.5047813121260188E-2</v>
      </c>
    </row>
    <row r="958" spans="1:3" x14ac:dyDescent="0.2">
      <c r="A958">
        <v>934</v>
      </c>
      <c r="B958">
        <v>1.6122203205283587E-2</v>
      </c>
      <c r="C958">
        <v>8.8517822265583301E-3</v>
      </c>
    </row>
    <row r="959" spans="1:3" x14ac:dyDescent="0.2">
      <c r="A959">
        <v>935</v>
      </c>
      <c r="B959">
        <v>3.5425437133879508E-4</v>
      </c>
      <c r="C959">
        <v>-2.723120699595996E-3</v>
      </c>
    </row>
    <row r="960" spans="1:3" x14ac:dyDescent="0.2">
      <c r="A960">
        <v>936</v>
      </c>
      <c r="B960">
        <v>5.1499757976183527E-3</v>
      </c>
      <c r="C960">
        <v>1.0114610362490171E-2</v>
      </c>
    </row>
    <row r="961" spans="1:3" x14ac:dyDescent="0.2">
      <c r="A961">
        <v>937</v>
      </c>
      <c r="B961">
        <v>-7.1806550276523173E-3</v>
      </c>
      <c r="C961">
        <v>-1.9548379385979517E-2</v>
      </c>
    </row>
    <row r="962" spans="1:3" x14ac:dyDescent="0.2">
      <c r="A962">
        <v>938</v>
      </c>
      <c r="B962">
        <v>-1.2303734453705532E-2</v>
      </c>
      <c r="C962">
        <v>-7.2637217769844879E-3</v>
      </c>
    </row>
    <row r="963" spans="1:3" x14ac:dyDescent="0.2">
      <c r="A963">
        <v>939</v>
      </c>
      <c r="B963">
        <v>7.0448375348286189E-3</v>
      </c>
      <c r="C963">
        <v>-5.6442773107388882E-3</v>
      </c>
    </row>
    <row r="964" spans="1:3" x14ac:dyDescent="0.2">
      <c r="A964">
        <v>940</v>
      </c>
      <c r="B964">
        <v>1.8457310009729094E-3</v>
      </c>
      <c r="C964">
        <v>1.5986436831194852E-2</v>
      </c>
    </row>
    <row r="965" spans="1:3" x14ac:dyDescent="0.2">
      <c r="A965">
        <v>941</v>
      </c>
      <c r="B965">
        <v>-5.8369122377079944E-3</v>
      </c>
      <c r="C965">
        <v>7.5545350477389363E-3</v>
      </c>
    </row>
    <row r="966" spans="1:3" x14ac:dyDescent="0.2">
      <c r="A966">
        <v>942</v>
      </c>
      <c r="B966">
        <v>1.0204919860274513E-2</v>
      </c>
      <c r="C966">
        <v>-1.6315316572566799E-3</v>
      </c>
    </row>
    <row r="967" spans="1:3" x14ac:dyDescent="0.2">
      <c r="A967">
        <v>943</v>
      </c>
      <c r="B967">
        <v>-8.6714005115999908E-3</v>
      </c>
      <c r="C967">
        <v>3.9111148944629432E-3</v>
      </c>
    </row>
    <row r="968" spans="1:3" x14ac:dyDescent="0.2">
      <c r="A968">
        <v>944</v>
      </c>
      <c r="B968">
        <v>-1.3537453736901087E-2</v>
      </c>
      <c r="C968">
        <v>-9.0112309231604147E-3</v>
      </c>
    </row>
    <row r="969" spans="1:3" x14ac:dyDescent="0.2">
      <c r="A969">
        <v>945</v>
      </c>
      <c r="B969">
        <v>9.2777812660526839E-3</v>
      </c>
      <c r="C969">
        <v>-1.2386341147069858E-3</v>
      </c>
    </row>
    <row r="970" spans="1:3" x14ac:dyDescent="0.2">
      <c r="A970">
        <v>946</v>
      </c>
      <c r="B970">
        <v>-1.1513813465557942E-2</v>
      </c>
      <c r="C970">
        <v>-1.1717809280627848E-2</v>
      </c>
    </row>
    <row r="971" spans="1:3" x14ac:dyDescent="0.2">
      <c r="A971">
        <v>947</v>
      </c>
      <c r="B971">
        <v>-1.9033835755078953E-2</v>
      </c>
      <c r="C971">
        <v>-1.9104311955778948E-3</v>
      </c>
    </row>
    <row r="972" spans="1:3" x14ac:dyDescent="0.2">
      <c r="A972">
        <v>948</v>
      </c>
      <c r="B972">
        <v>-9.691017798560634E-3</v>
      </c>
      <c r="C972">
        <v>1.4041996768828981E-2</v>
      </c>
    </row>
    <row r="973" spans="1:3" x14ac:dyDescent="0.2">
      <c r="A973">
        <v>949</v>
      </c>
      <c r="B973">
        <v>8.3514388208009941E-3</v>
      </c>
      <c r="C973">
        <v>-9.7954821421006033E-3</v>
      </c>
    </row>
    <row r="974" spans="1:3" x14ac:dyDescent="0.2">
      <c r="A974">
        <v>950</v>
      </c>
      <c r="B974">
        <v>2.5792500734729086E-2</v>
      </c>
      <c r="C974">
        <v>9.9992563151623942E-3</v>
      </c>
    </row>
    <row r="975" spans="1:3" x14ac:dyDescent="0.2">
      <c r="A975">
        <v>951</v>
      </c>
      <c r="B975">
        <v>8.9259430464144144E-3</v>
      </c>
      <c r="C975">
        <v>-9.2749831860304E-3</v>
      </c>
    </row>
    <row r="976" spans="1:3" x14ac:dyDescent="0.2">
      <c r="A976">
        <v>952</v>
      </c>
      <c r="B976">
        <v>-5.9965786980732431E-3</v>
      </c>
      <c r="C976">
        <v>-3.7799576147759589E-3</v>
      </c>
    </row>
    <row r="977" spans="1:3" x14ac:dyDescent="0.2">
      <c r="A977">
        <v>953</v>
      </c>
      <c r="B977">
        <v>4.8005553608021154E-3</v>
      </c>
      <c r="C977">
        <v>-2.4194067349518643E-2</v>
      </c>
    </row>
    <row r="978" spans="1:3" x14ac:dyDescent="0.2">
      <c r="A978">
        <v>954</v>
      </c>
      <c r="B978">
        <v>-1.0191565838655658E-2</v>
      </c>
      <c r="C978">
        <v>-9.5550356084088059E-4</v>
      </c>
    </row>
    <row r="979" spans="1:3" x14ac:dyDescent="0.2">
      <c r="A979">
        <v>955</v>
      </c>
      <c r="B979">
        <v>-6.6725604093551497E-3</v>
      </c>
      <c r="C979">
        <v>-2.8963803227008506E-2</v>
      </c>
    </row>
    <row r="980" spans="1:3" x14ac:dyDescent="0.2">
      <c r="A980">
        <v>956</v>
      </c>
      <c r="B980">
        <v>-1.455091251228624E-2</v>
      </c>
      <c r="C980">
        <v>-2.0516960790881167E-2</v>
      </c>
    </row>
    <row r="981" spans="1:3" x14ac:dyDescent="0.2">
      <c r="A981">
        <v>957</v>
      </c>
      <c r="B981">
        <v>9.1270633281684797E-3</v>
      </c>
      <c r="C981">
        <v>-1.4207172745909746E-2</v>
      </c>
    </row>
    <row r="982" spans="1:3" x14ac:dyDescent="0.2">
      <c r="A982">
        <v>958</v>
      </c>
      <c r="B982">
        <v>-9.6860216947432969E-4</v>
      </c>
      <c r="C982">
        <v>1.7541481239126476E-3</v>
      </c>
    </row>
    <row r="983" spans="1:3" x14ac:dyDescent="0.2">
      <c r="A983">
        <v>959</v>
      </c>
      <c r="B983">
        <v>-5.4340543689584695E-3</v>
      </c>
      <c r="C983">
        <v>-3.8129524908906504E-2</v>
      </c>
    </row>
    <row r="984" spans="1:3" x14ac:dyDescent="0.2">
      <c r="A984">
        <v>960</v>
      </c>
      <c r="B984">
        <v>-2.9143556587246551E-3</v>
      </c>
      <c r="C984">
        <v>2.9143556587246551E-3</v>
      </c>
    </row>
    <row r="985" spans="1:3" x14ac:dyDescent="0.2">
      <c r="A985">
        <v>961</v>
      </c>
      <c r="B985">
        <v>3.4829969206949174E-3</v>
      </c>
      <c r="C985">
        <v>-1.9075939062672864E-2</v>
      </c>
    </row>
    <row r="986" spans="1:3" x14ac:dyDescent="0.2">
      <c r="A986">
        <v>962</v>
      </c>
      <c r="B986">
        <v>1.1506922943785953E-2</v>
      </c>
      <c r="C986">
        <v>-3.1701159408679524E-3</v>
      </c>
    </row>
    <row r="987" spans="1:3" x14ac:dyDescent="0.2">
      <c r="A987">
        <v>963</v>
      </c>
      <c r="B987">
        <v>-8.0808540647570783E-3</v>
      </c>
      <c r="C987">
        <v>-2.1270117411059407E-2</v>
      </c>
    </row>
    <row r="988" spans="1:3" x14ac:dyDescent="0.2">
      <c r="A988">
        <v>964</v>
      </c>
      <c r="B988">
        <v>-1.8147826390958442E-2</v>
      </c>
      <c r="C988">
        <v>3.5183601518726695E-2</v>
      </c>
    </row>
    <row r="989" spans="1:3" x14ac:dyDescent="0.2">
      <c r="A989">
        <v>965</v>
      </c>
      <c r="B989">
        <v>1.3401044077848133E-2</v>
      </c>
      <c r="C989">
        <v>1.9681032974078284E-2</v>
      </c>
    </row>
    <row r="990" spans="1:3" x14ac:dyDescent="0.2">
      <c r="A990">
        <v>966</v>
      </c>
      <c r="B990">
        <v>-5.908236348615214E-4</v>
      </c>
      <c r="C990">
        <v>1.8068755197418449E-3</v>
      </c>
    </row>
    <row r="991" spans="1:3" x14ac:dyDescent="0.2">
      <c r="A991">
        <v>967</v>
      </c>
      <c r="B991">
        <v>-1.8942986279425433E-2</v>
      </c>
      <c r="C991">
        <v>7.2020955911663576E-3</v>
      </c>
    </row>
    <row r="992" spans="1:3" x14ac:dyDescent="0.2">
      <c r="A992">
        <v>968</v>
      </c>
      <c r="B992">
        <v>1.67789219730228E-2</v>
      </c>
      <c r="C992">
        <v>-2.3333612673555375E-2</v>
      </c>
    </row>
    <row r="993" spans="1:3" x14ac:dyDescent="0.2">
      <c r="A993">
        <v>969</v>
      </c>
      <c r="B993">
        <v>3.2627984499160145E-3</v>
      </c>
      <c r="C993">
        <v>-6.561767522080892E-3</v>
      </c>
    </row>
    <row r="994" spans="1:3" x14ac:dyDescent="0.2">
      <c r="A994">
        <v>970</v>
      </c>
      <c r="B994">
        <v>-8.3140747363138773E-3</v>
      </c>
      <c r="C994">
        <v>-2.0293261739054019E-3</v>
      </c>
    </row>
    <row r="995" spans="1:3" x14ac:dyDescent="0.2">
      <c r="A995">
        <v>971</v>
      </c>
      <c r="B995">
        <v>-4.7714768481215523E-3</v>
      </c>
      <c r="C995">
        <v>4.3534166474525904E-3</v>
      </c>
    </row>
    <row r="996" spans="1:3" x14ac:dyDescent="0.2">
      <c r="A996">
        <v>972</v>
      </c>
      <c r="B996">
        <v>-8.8534424618063115E-3</v>
      </c>
      <c r="C996">
        <v>-4.9483141253957724E-3</v>
      </c>
    </row>
    <row r="997" spans="1:3" x14ac:dyDescent="0.2">
      <c r="A997">
        <v>973</v>
      </c>
      <c r="B997">
        <v>1.3509397131137149E-2</v>
      </c>
      <c r="C997">
        <v>-2.7928396282960725E-2</v>
      </c>
    </row>
    <row r="998" spans="1:3" x14ac:dyDescent="0.2">
      <c r="A998">
        <v>974</v>
      </c>
      <c r="B998">
        <v>5.1999172497570959E-4</v>
      </c>
      <c r="C998">
        <v>7.708860719262328E-4</v>
      </c>
    </row>
    <row r="999" spans="1:3" x14ac:dyDescent="0.2">
      <c r="A999">
        <v>975</v>
      </c>
      <c r="B999">
        <v>1.3626906016583373E-2</v>
      </c>
      <c r="C999">
        <v>-2.0239837991360334E-3</v>
      </c>
    </row>
    <row r="1000" spans="1:3" x14ac:dyDescent="0.2">
      <c r="A1000">
        <v>976</v>
      </c>
      <c r="B1000">
        <v>-1.5266617931347275E-2</v>
      </c>
      <c r="C1000">
        <v>-4.2745885257470684E-3</v>
      </c>
    </row>
    <row r="1001" spans="1:3" x14ac:dyDescent="0.2">
      <c r="A1001">
        <v>977</v>
      </c>
      <c r="B1001">
        <v>-9.352623329467305E-3</v>
      </c>
      <c r="C1001">
        <v>-6.1271462547190202E-4</v>
      </c>
    </row>
    <row r="1002" spans="1:3" x14ac:dyDescent="0.2">
      <c r="A1002">
        <v>978</v>
      </c>
      <c r="B1002">
        <v>5.9485958890447312E-3</v>
      </c>
      <c r="C1002">
        <v>-1.2075510549876265E-2</v>
      </c>
    </row>
    <row r="1003" spans="1:3" x14ac:dyDescent="0.2">
      <c r="A1003">
        <v>979</v>
      </c>
      <c r="B1003">
        <v>-2.770587866462189E-3</v>
      </c>
      <c r="C1003">
        <v>7.1739344098350581E-3</v>
      </c>
    </row>
    <row r="1004" spans="1:3" x14ac:dyDescent="0.2">
      <c r="A1004">
        <v>980</v>
      </c>
      <c r="B1004">
        <v>5.3993630626024266E-3</v>
      </c>
      <c r="C1004">
        <v>3.186499467523192E-2</v>
      </c>
    </row>
    <row r="1005" spans="1:3" x14ac:dyDescent="0.2">
      <c r="A1005">
        <v>981</v>
      </c>
      <c r="B1005">
        <v>8.5861115822436478E-3</v>
      </c>
      <c r="C1005">
        <v>-1.1967345732708645E-2</v>
      </c>
    </row>
    <row r="1006" spans="1:3" x14ac:dyDescent="0.2">
      <c r="A1006">
        <v>982</v>
      </c>
      <c r="B1006">
        <v>-8.0565372641572507E-3</v>
      </c>
      <c r="C1006">
        <v>-4.6661090462752006E-3</v>
      </c>
    </row>
    <row r="1007" spans="1:3" x14ac:dyDescent="0.2">
      <c r="A1007">
        <v>983</v>
      </c>
      <c r="B1007">
        <v>-2.6531335010272768E-3</v>
      </c>
      <c r="C1007">
        <v>-1.3669890553955649E-2</v>
      </c>
    </row>
    <row r="1008" spans="1:3" x14ac:dyDescent="0.2">
      <c r="A1008">
        <v>984</v>
      </c>
      <c r="B1008">
        <v>-8.1936392616045427E-3</v>
      </c>
      <c r="C1008">
        <v>3.4831193846757515E-2</v>
      </c>
    </row>
    <row r="1009" spans="1:3" x14ac:dyDescent="0.2">
      <c r="A1009">
        <v>985</v>
      </c>
      <c r="B1009">
        <v>-3.5373817056872634E-3</v>
      </c>
      <c r="C1009">
        <v>3.9627326201916446E-3</v>
      </c>
    </row>
    <row r="1010" spans="1:3" x14ac:dyDescent="0.2">
      <c r="A1010">
        <v>986</v>
      </c>
      <c r="B1010">
        <v>-6.8642828870481088E-3</v>
      </c>
      <c r="C1010">
        <v>2.174523526800055E-2</v>
      </c>
    </row>
    <row r="1011" spans="1:3" x14ac:dyDescent="0.2">
      <c r="A1011">
        <v>987</v>
      </c>
      <c r="B1011">
        <v>-6.1093429496989358E-5</v>
      </c>
      <c r="C1011">
        <v>-2.0335860845373927E-3</v>
      </c>
    </row>
    <row r="1012" spans="1:3" x14ac:dyDescent="0.2">
      <c r="A1012">
        <v>988</v>
      </c>
      <c r="B1012">
        <v>-1.3217014520870088E-2</v>
      </c>
      <c r="C1012">
        <v>-2.1627653825057783E-2</v>
      </c>
    </row>
    <row r="1013" spans="1:3" x14ac:dyDescent="0.2">
      <c r="A1013">
        <v>989</v>
      </c>
      <c r="B1013">
        <v>1.3757522631064676E-2</v>
      </c>
      <c r="C1013">
        <v>-9.4078053626870592E-3</v>
      </c>
    </row>
    <row r="1014" spans="1:3" x14ac:dyDescent="0.2">
      <c r="A1014">
        <v>990</v>
      </c>
      <c r="B1014">
        <v>5.6975377181404394E-3</v>
      </c>
      <c r="C1014">
        <v>4.6965722861903722E-3</v>
      </c>
    </row>
    <row r="1015" spans="1:3" x14ac:dyDescent="0.2">
      <c r="A1015">
        <v>991</v>
      </c>
      <c r="B1015">
        <v>7.0337027153778431E-3</v>
      </c>
      <c r="C1015">
        <v>1.2254767066019624E-2</v>
      </c>
    </row>
    <row r="1016" spans="1:3" x14ac:dyDescent="0.2">
      <c r="A1016">
        <v>992</v>
      </c>
      <c r="B1016">
        <v>-6.2201532026239193E-3</v>
      </c>
      <c r="C1016">
        <v>2.262048961978122E-2</v>
      </c>
    </row>
    <row r="1017" spans="1:3" x14ac:dyDescent="0.2">
      <c r="A1017">
        <v>993</v>
      </c>
      <c r="B1017">
        <v>-2.879266210961311E-3</v>
      </c>
      <c r="C1017">
        <v>-2.8978408592514202E-2</v>
      </c>
    </row>
    <row r="1018" spans="1:3" x14ac:dyDescent="0.2">
      <c r="A1018">
        <v>994</v>
      </c>
      <c r="B1018">
        <v>-1.8900452587679872E-2</v>
      </c>
      <c r="C1018">
        <v>3.9413273100500405E-2</v>
      </c>
    </row>
    <row r="1019" spans="1:3" x14ac:dyDescent="0.2">
      <c r="A1019">
        <v>995</v>
      </c>
      <c r="B1019">
        <v>2.965093169901226E-4</v>
      </c>
      <c r="C1019">
        <v>-4.0653535380956443E-3</v>
      </c>
    </row>
    <row r="1020" spans="1:3" x14ac:dyDescent="0.2">
      <c r="A1020">
        <v>996</v>
      </c>
      <c r="B1020">
        <v>-3.2605894590669797E-3</v>
      </c>
      <c r="C1020">
        <v>1.4189551207700926E-2</v>
      </c>
    </row>
    <row r="1021" spans="1:3" x14ac:dyDescent="0.2">
      <c r="A1021">
        <v>997</v>
      </c>
      <c r="B1021">
        <v>-5.6135824379826551E-3</v>
      </c>
      <c r="C1021">
        <v>6.0293828537829885E-3</v>
      </c>
    </row>
    <row r="1022" spans="1:3" x14ac:dyDescent="0.2">
      <c r="A1022">
        <v>998</v>
      </c>
      <c r="B1022">
        <v>-2.2632400020740763E-3</v>
      </c>
      <c r="C1022">
        <v>5.0060413734409996E-2</v>
      </c>
    </row>
    <row r="1023" spans="1:3" x14ac:dyDescent="0.2">
      <c r="A1023">
        <v>999</v>
      </c>
      <c r="B1023">
        <v>-1.4894812075021687E-2</v>
      </c>
      <c r="C1023">
        <v>1.4081004526496181E-3</v>
      </c>
    </row>
    <row r="1024" spans="1:3" x14ac:dyDescent="0.2">
      <c r="A1024">
        <v>1000</v>
      </c>
      <c r="B1024">
        <v>1.7010452418140354E-3</v>
      </c>
      <c r="C1024">
        <v>-9.2681751665296035E-5</v>
      </c>
    </row>
    <row r="1025" spans="1:3" x14ac:dyDescent="0.2">
      <c r="A1025">
        <v>1001</v>
      </c>
      <c r="B1025">
        <v>5.8170347837017697E-3</v>
      </c>
      <c r="C1025">
        <v>-4.6126991755122415E-3</v>
      </c>
    </row>
    <row r="1026" spans="1:3" x14ac:dyDescent="0.2">
      <c r="A1026">
        <v>1002</v>
      </c>
      <c r="B1026">
        <v>-2.0553582993933967E-2</v>
      </c>
      <c r="C1026">
        <v>1.3336261422161724E-2</v>
      </c>
    </row>
    <row r="1027" spans="1:3" x14ac:dyDescent="0.2">
      <c r="A1027">
        <v>1003</v>
      </c>
      <c r="B1027">
        <v>-5.6866242700148364E-3</v>
      </c>
      <c r="C1027">
        <v>7.1114734124618925E-2</v>
      </c>
    </row>
    <row r="1028" spans="1:3" x14ac:dyDescent="0.2">
      <c r="A1028">
        <v>1004</v>
      </c>
      <c r="B1028">
        <v>-2.3610639937805003E-2</v>
      </c>
      <c r="C1028">
        <v>8.6613652612957046E-4</v>
      </c>
    </row>
    <row r="1029" spans="1:3" x14ac:dyDescent="0.2">
      <c r="A1029">
        <v>1005</v>
      </c>
      <c r="B1029">
        <v>-1.0294396681520043E-2</v>
      </c>
      <c r="C1029">
        <v>1.2621782251729458E-2</v>
      </c>
    </row>
    <row r="1030" spans="1:3" x14ac:dyDescent="0.2">
      <c r="A1030">
        <v>1006</v>
      </c>
      <c r="B1030">
        <v>-1.5946466932950858E-2</v>
      </c>
      <c r="C1030">
        <v>4.3365598122077961E-3</v>
      </c>
    </row>
    <row r="1031" spans="1:3" x14ac:dyDescent="0.2">
      <c r="A1031">
        <v>1007</v>
      </c>
      <c r="B1031">
        <v>-6.7113286753512887E-4</v>
      </c>
      <c r="C1031">
        <v>-2.3996055856035703E-2</v>
      </c>
    </row>
    <row r="1032" spans="1:3" x14ac:dyDescent="0.2">
      <c r="A1032">
        <v>1008</v>
      </c>
      <c r="B1032">
        <v>-2.3486655502739956E-2</v>
      </c>
      <c r="C1032">
        <v>2.0283374440989432E-4</v>
      </c>
    </row>
    <row r="1033" spans="1:3" x14ac:dyDescent="0.2">
      <c r="A1033">
        <v>1009</v>
      </c>
      <c r="B1033">
        <v>-3.1436046088353449E-3</v>
      </c>
      <c r="C1033">
        <v>2.6160456232345509E-2</v>
      </c>
    </row>
    <row r="1034" spans="1:3" x14ac:dyDescent="0.2">
      <c r="A1034">
        <v>1010</v>
      </c>
      <c r="B1034">
        <v>6.9342412249324822E-3</v>
      </c>
      <c r="C1034">
        <v>-4.1218667773631661E-3</v>
      </c>
    </row>
    <row r="1035" spans="1:3" x14ac:dyDescent="0.2">
      <c r="A1035">
        <v>1011</v>
      </c>
      <c r="B1035">
        <v>1.896800053560942E-2</v>
      </c>
      <c r="C1035">
        <v>-1.7365436433045351E-2</v>
      </c>
    </row>
    <row r="1036" spans="1:3" x14ac:dyDescent="0.2">
      <c r="A1036">
        <v>1012</v>
      </c>
      <c r="B1036">
        <v>-3.170968310139701E-3</v>
      </c>
      <c r="C1036">
        <v>-2.2029031689860257E-2</v>
      </c>
    </row>
    <row r="1037" spans="1:3" x14ac:dyDescent="0.2">
      <c r="A1037">
        <v>1013</v>
      </c>
      <c r="B1037">
        <v>2.2018096569379048E-2</v>
      </c>
      <c r="C1037">
        <v>-2.7004568714689495E-4</v>
      </c>
    </row>
    <row r="1038" spans="1:3" x14ac:dyDescent="0.2">
      <c r="A1038">
        <v>1014</v>
      </c>
      <c r="B1038">
        <v>3.0283919235249974E-3</v>
      </c>
      <c r="C1038">
        <v>2.7092090004185849E-2</v>
      </c>
    </row>
    <row r="1039" spans="1:3" x14ac:dyDescent="0.2">
      <c r="A1039">
        <v>1015</v>
      </c>
      <c r="B1039">
        <v>1.7525425915420841E-3</v>
      </c>
      <c r="C1039">
        <v>6.4345919113819264E-3</v>
      </c>
    </row>
    <row r="1040" spans="1:3" x14ac:dyDescent="0.2">
      <c r="A1040">
        <v>1016</v>
      </c>
      <c r="B1040">
        <v>3.6081217015030906E-3</v>
      </c>
      <c r="C1040">
        <v>-6.7017025213019421E-3</v>
      </c>
    </row>
    <row r="1041" spans="1:3" x14ac:dyDescent="0.2">
      <c r="A1041">
        <v>1017</v>
      </c>
      <c r="B1041">
        <v>-1.4698181628264577E-3</v>
      </c>
      <c r="C1041">
        <v>2.4355776269886189E-2</v>
      </c>
    </row>
    <row r="1042" spans="1:3" x14ac:dyDescent="0.2">
      <c r="A1042">
        <v>1018</v>
      </c>
      <c r="B1042">
        <v>7.428412296050969E-3</v>
      </c>
      <c r="C1042">
        <v>7.7403400740665342E-3</v>
      </c>
    </row>
    <row r="1043" spans="1:3" x14ac:dyDescent="0.2">
      <c r="A1043">
        <v>1019</v>
      </c>
      <c r="B1043">
        <v>-1.0152435490941492E-2</v>
      </c>
      <c r="C1043">
        <v>9.0317780385693915E-3</v>
      </c>
    </row>
    <row r="1044" spans="1:3" x14ac:dyDescent="0.2">
      <c r="A1044">
        <v>1020</v>
      </c>
      <c r="B1044">
        <v>5.5447203965111377E-3</v>
      </c>
      <c r="C1044">
        <v>-1.9007697210273271E-2</v>
      </c>
    </row>
    <row r="1045" spans="1:3" x14ac:dyDescent="0.2">
      <c r="A1045">
        <v>1021</v>
      </c>
      <c r="B1045">
        <v>-5.5019015719927596E-3</v>
      </c>
      <c r="C1045">
        <v>3.2795305666003464E-2</v>
      </c>
    </row>
    <row r="1046" spans="1:3" x14ac:dyDescent="0.2">
      <c r="A1046">
        <v>1022</v>
      </c>
      <c r="B1046">
        <v>2.3016239610570833E-3</v>
      </c>
      <c r="C1046">
        <v>-3.1083911783935353E-2</v>
      </c>
    </row>
    <row r="1047" spans="1:3" x14ac:dyDescent="0.2">
      <c r="A1047">
        <v>1023</v>
      </c>
      <c r="B1047">
        <v>-1.1489273947766779E-2</v>
      </c>
      <c r="C1047">
        <v>8.8296994796816623E-3</v>
      </c>
    </row>
    <row r="1048" spans="1:3" x14ac:dyDescent="0.2">
      <c r="A1048">
        <v>1024</v>
      </c>
      <c r="B1048">
        <v>-6.3172094233301772E-3</v>
      </c>
      <c r="C1048">
        <v>-4.7304096242888373E-3</v>
      </c>
    </row>
    <row r="1049" spans="1:3" x14ac:dyDescent="0.2">
      <c r="A1049">
        <v>1025</v>
      </c>
      <c r="B1049">
        <v>-1.5676279749854531E-3</v>
      </c>
      <c r="C1049">
        <v>1.4279492381765048E-2</v>
      </c>
    </row>
    <row r="1050" spans="1:3" x14ac:dyDescent="0.2">
      <c r="A1050">
        <v>1026</v>
      </c>
      <c r="B1050">
        <v>-1.3479451481040818E-2</v>
      </c>
      <c r="C1050">
        <v>1.9945788491310949E-2</v>
      </c>
    </row>
    <row r="1051" spans="1:3" x14ac:dyDescent="0.2">
      <c r="A1051">
        <v>1027</v>
      </c>
      <c r="B1051">
        <v>-1.5481192964879861E-2</v>
      </c>
      <c r="C1051">
        <v>-2.7980636211235109E-2</v>
      </c>
    </row>
    <row r="1052" spans="1:3" x14ac:dyDescent="0.2">
      <c r="A1052">
        <v>1028</v>
      </c>
      <c r="B1052">
        <v>-6.1867768739579266E-3</v>
      </c>
      <c r="C1052">
        <v>-5.6662456467847511E-3</v>
      </c>
    </row>
    <row r="1053" spans="1:3" x14ac:dyDescent="0.2">
      <c r="A1053">
        <v>1029</v>
      </c>
      <c r="B1053">
        <v>-3.1480447869437475E-2</v>
      </c>
      <c r="C1053">
        <v>1.3887485054563376E-2</v>
      </c>
    </row>
    <row r="1054" spans="1:3" x14ac:dyDescent="0.2">
      <c r="A1054">
        <v>1030</v>
      </c>
      <c r="B1054">
        <v>1.7957538933651953E-2</v>
      </c>
      <c r="C1054">
        <v>-1.1852532828645906E-2</v>
      </c>
    </row>
    <row r="1055" spans="1:3" x14ac:dyDescent="0.2">
      <c r="A1055">
        <v>1031</v>
      </c>
      <c r="B1055">
        <v>-1.2726967222884853E-2</v>
      </c>
      <c r="C1055">
        <v>-1.5185654136338355E-2</v>
      </c>
    </row>
    <row r="1056" spans="1:3" x14ac:dyDescent="0.2">
      <c r="A1056">
        <v>1032</v>
      </c>
      <c r="B1056">
        <v>2.7540921579714314E-2</v>
      </c>
      <c r="C1056">
        <v>-1.3236931152948821E-3</v>
      </c>
    </row>
    <row r="1057" spans="1:3" x14ac:dyDescent="0.2">
      <c r="A1057">
        <v>1033</v>
      </c>
      <c r="B1057">
        <v>-1.5843780554643872E-3</v>
      </c>
      <c r="C1057">
        <v>-1.1392102074300425E-2</v>
      </c>
    </row>
    <row r="1058" spans="1:3" x14ac:dyDescent="0.2">
      <c r="A1058">
        <v>1034</v>
      </c>
      <c r="B1058">
        <v>9.2432556541549213E-4</v>
      </c>
      <c r="C1058">
        <v>-2.5677109392856297E-3</v>
      </c>
    </row>
    <row r="1059" spans="1:3" x14ac:dyDescent="0.2">
      <c r="A1059">
        <v>1035</v>
      </c>
      <c r="B1059">
        <v>-1.7495207803776773E-2</v>
      </c>
      <c r="C1059">
        <v>1.5849117268797383E-2</v>
      </c>
    </row>
    <row r="1060" spans="1:3" x14ac:dyDescent="0.2">
      <c r="A1060">
        <v>1036</v>
      </c>
      <c r="B1060">
        <v>1.1193232151092653E-2</v>
      </c>
      <c r="C1060">
        <v>1.0653429019558524E-2</v>
      </c>
    </row>
    <row r="1061" spans="1:3" x14ac:dyDescent="0.2">
      <c r="A1061">
        <v>1037</v>
      </c>
      <c r="B1061">
        <v>-2.8689865540832912E-2</v>
      </c>
      <c r="C1061">
        <v>2.3849203983753547E-2</v>
      </c>
    </row>
    <row r="1062" spans="1:3" x14ac:dyDescent="0.2">
      <c r="A1062">
        <v>1038</v>
      </c>
      <c r="B1062">
        <v>8.2245323797163379E-3</v>
      </c>
      <c r="C1062">
        <v>-9.0352336363034129E-3</v>
      </c>
    </row>
    <row r="1063" spans="1:3" x14ac:dyDescent="0.2">
      <c r="A1063">
        <v>1039</v>
      </c>
      <c r="B1063">
        <v>9.0289189219973087E-3</v>
      </c>
      <c r="C1063">
        <v>5.5755435526478429E-3</v>
      </c>
    </row>
    <row r="1064" spans="1:3" x14ac:dyDescent="0.2">
      <c r="A1064">
        <v>1040</v>
      </c>
      <c r="B1064">
        <v>2.1892883666672523E-3</v>
      </c>
      <c r="C1064">
        <v>-1.2185289966027506E-2</v>
      </c>
    </row>
    <row r="1065" spans="1:3" x14ac:dyDescent="0.2">
      <c r="A1065">
        <v>1041</v>
      </c>
      <c r="B1065">
        <v>1.5932037272246159E-2</v>
      </c>
      <c r="C1065">
        <v>6.4843406992697306E-2</v>
      </c>
    </row>
    <row r="1066" spans="1:3" x14ac:dyDescent="0.2">
      <c r="A1066">
        <v>1042</v>
      </c>
      <c r="B1066">
        <v>-1.4109499426310327E-2</v>
      </c>
      <c r="C1066">
        <v>-2.6996629123764465E-2</v>
      </c>
    </row>
    <row r="1067" spans="1:3" x14ac:dyDescent="0.2">
      <c r="A1067">
        <v>1043</v>
      </c>
      <c r="B1067">
        <v>-3.9398663677072592E-4</v>
      </c>
      <c r="C1067">
        <v>-1.0128226925193405E-2</v>
      </c>
    </row>
    <row r="1068" spans="1:3" x14ac:dyDescent="0.2">
      <c r="A1068">
        <v>1044</v>
      </c>
      <c r="B1068">
        <v>-8.4512221208553878E-3</v>
      </c>
      <c r="C1068">
        <v>3.4839563987732039E-2</v>
      </c>
    </row>
    <row r="1069" spans="1:3" x14ac:dyDescent="0.2">
      <c r="A1069">
        <v>1045</v>
      </c>
      <c r="B1069">
        <v>1.0453137344826766E-2</v>
      </c>
      <c r="C1069">
        <v>-8.534488073913462E-3</v>
      </c>
    </row>
    <row r="1070" spans="1:3" x14ac:dyDescent="0.2">
      <c r="A1070">
        <v>1046</v>
      </c>
      <c r="B1070">
        <v>-6.6739155441355854E-3</v>
      </c>
      <c r="C1070">
        <v>-1.2858830530165372E-2</v>
      </c>
    </row>
    <row r="1071" spans="1:3" x14ac:dyDescent="0.2">
      <c r="A1071">
        <v>1047</v>
      </c>
      <c r="B1071">
        <v>2.7126098996558622E-2</v>
      </c>
      <c r="C1071">
        <v>-7.5948489965586216E-3</v>
      </c>
    </row>
    <row r="1072" spans="1:3" x14ac:dyDescent="0.2">
      <c r="A1072">
        <v>1048</v>
      </c>
      <c r="B1072">
        <v>-1.252383368080719E-2</v>
      </c>
      <c r="C1072">
        <v>1.367325896816342E-2</v>
      </c>
    </row>
    <row r="1073" spans="1:3" x14ac:dyDescent="0.2">
      <c r="A1073">
        <v>1049</v>
      </c>
      <c r="B1073">
        <v>-4.5727689167087146E-3</v>
      </c>
      <c r="C1073">
        <v>3.8073651662303533E-3</v>
      </c>
    </row>
    <row r="1074" spans="1:3" x14ac:dyDescent="0.2">
      <c r="A1074">
        <v>1050</v>
      </c>
      <c r="B1074">
        <v>3.948643226197858E-2</v>
      </c>
      <c r="C1074">
        <v>2.4473736255830755E-2</v>
      </c>
    </row>
    <row r="1075" spans="1:3" x14ac:dyDescent="0.2">
      <c r="A1075">
        <v>1051</v>
      </c>
      <c r="B1075">
        <v>-1.0083982554967653E-2</v>
      </c>
      <c r="C1075">
        <v>-8.274548762527003E-3</v>
      </c>
    </row>
    <row r="1076" spans="1:3" x14ac:dyDescent="0.2">
      <c r="A1076">
        <v>1052</v>
      </c>
      <c r="B1076">
        <v>-2.2154633305699108E-2</v>
      </c>
      <c r="C1076">
        <v>-3.1017350559354038E-2</v>
      </c>
    </row>
    <row r="1077" spans="1:3" x14ac:dyDescent="0.2">
      <c r="A1077">
        <v>1053</v>
      </c>
      <c r="B1077">
        <v>2.0874204361845727E-2</v>
      </c>
      <c r="C1077">
        <v>-2.5134467723580793E-2</v>
      </c>
    </row>
    <row r="1078" spans="1:3" x14ac:dyDescent="0.2">
      <c r="A1078">
        <v>1054</v>
      </c>
      <c r="B1078">
        <v>2.7833280333884841E-3</v>
      </c>
      <c r="C1078">
        <v>3.8288851132469944E-3</v>
      </c>
    </row>
    <row r="1079" spans="1:3" x14ac:dyDescent="0.2">
      <c r="A1079">
        <v>1055</v>
      </c>
      <c r="B1079">
        <v>9.8124750202420504E-3</v>
      </c>
      <c r="C1079">
        <v>3.3077787730917123E-2</v>
      </c>
    </row>
    <row r="1080" spans="1:3" x14ac:dyDescent="0.2">
      <c r="A1080">
        <v>1056</v>
      </c>
      <c r="B1080">
        <v>-3.4482431485700197E-3</v>
      </c>
      <c r="C1080">
        <v>-2.7674394865509263E-2</v>
      </c>
    </row>
    <row r="1081" spans="1:3" x14ac:dyDescent="0.2">
      <c r="A1081">
        <v>1057</v>
      </c>
      <c r="B1081">
        <v>7.2921501454260287E-3</v>
      </c>
      <c r="C1081">
        <v>1.1445899567767166E-2</v>
      </c>
    </row>
    <row r="1082" spans="1:3" x14ac:dyDescent="0.2">
      <c r="A1082">
        <v>1058</v>
      </c>
      <c r="B1082">
        <v>-6.5471651975389945E-3</v>
      </c>
      <c r="C1082">
        <v>2.1186804837178656E-2</v>
      </c>
    </row>
    <row r="1083" spans="1:3" x14ac:dyDescent="0.2">
      <c r="A1083">
        <v>1059</v>
      </c>
      <c r="B1083">
        <v>-6.1582266910959324E-3</v>
      </c>
      <c r="C1083">
        <v>-4.378627941323264E-2</v>
      </c>
    </row>
    <row r="1084" spans="1:3" x14ac:dyDescent="0.2">
      <c r="A1084">
        <v>1060</v>
      </c>
      <c r="B1084">
        <v>-2.6585121687369833E-5</v>
      </c>
      <c r="C1084">
        <v>3.4294497894273003E-2</v>
      </c>
    </row>
    <row r="1085" spans="1:3" x14ac:dyDescent="0.2">
      <c r="A1085">
        <v>1061</v>
      </c>
      <c r="B1085">
        <v>8.3056778063794294E-3</v>
      </c>
      <c r="C1085">
        <v>-3.692013563770466E-2</v>
      </c>
    </row>
    <row r="1086" spans="1:3" x14ac:dyDescent="0.2">
      <c r="A1086">
        <v>1062</v>
      </c>
      <c r="B1086">
        <v>-9.3038695913317902E-3</v>
      </c>
      <c r="C1086">
        <v>1.1643347076108271E-3</v>
      </c>
    </row>
    <row r="1087" spans="1:3" x14ac:dyDescent="0.2">
      <c r="A1087">
        <v>1063</v>
      </c>
      <c r="B1087">
        <v>-1.0336126427066676E-2</v>
      </c>
      <c r="C1087">
        <v>-3.8511079512753565E-2</v>
      </c>
    </row>
    <row r="1088" spans="1:3" x14ac:dyDescent="0.2">
      <c r="A1088">
        <v>1064</v>
      </c>
      <c r="B1088">
        <v>8.541071397811191E-3</v>
      </c>
      <c r="C1088">
        <v>-2.8261695884253278E-2</v>
      </c>
    </row>
    <row r="1089" spans="1:3" x14ac:dyDescent="0.2">
      <c r="A1089">
        <v>1065</v>
      </c>
      <c r="B1089">
        <v>-7.8477776648720257E-3</v>
      </c>
      <c r="C1089">
        <v>7.2288244274301694E-4</v>
      </c>
    </row>
    <row r="1090" spans="1:3" x14ac:dyDescent="0.2">
      <c r="A1090">
        <v>1066</v>
      </c>
      <c r="B1090">
        <v>6.4850935596062918E-3</v>
      </c>
      <c r="C1090">
        <v>8.51147375927786E-2</v>
      </c>
    </row>
    <row r="1091" spans="1:3" x14ac:dyDescent="0.2">
      <c r="A1091">
        <v>1067</v>
      </c>
      <c r="B1091">
        <v>2.8183333114379541E-3</v>
      </c>
      <c r="C1091">
        <v>3.7011519743473151E-2</v>
      </c>
    </row>
    <row r="1092" spans="1:3" x14ac:dyDescent="0.2">
      <c r="A1092">
        <v>1068</v>
      </c>
      <c r="B1092">
        <v>-5.2591386166063788E-3</v>
      </c>
      <c r="C1092">
        <v>8.6061077501132528E-3</v>
      </c>
    </row>
    <row r="1093" spans="1:3" x14ac:dyDescent="0.2">
      <c r="A1093">
        <v>1069</v>
      </c>
      <c r="B1093">
        <v>-2.0877973370256462E-2</v>
      </c>
      <c r="C1093">
        <v>-6.5497508699215203E-3</v>
      </c>
    </row>
    <row r="1094" spans="1:3" x14ac:dyDescent="0.2">
      <c r="A1094">
        <v>1070</v>
      </c>
      <c r="B1094">
        <v>7.0438541546312544E-3</v>
      </c>
      <c r="C1094">
        <v>-2.0763366349753183E-2</v>
      </c>
    </row>
    <row r="1095" spans="1:3" x14ac:dyDescent="0.2">
      <c r="A1095">
        <v>1071</v>
      </c>
      <c r="B1095">
        <v>-9.296119994275839E-3</v>
      </c>
      <c r="C1095">
        <v>-9.2510206548740998E-3</v>
      </c>
    </row>
    <row r="1096" spans="1:3" x14ac:dyDescent="0.2">
      <c r="A1096">
        <v>1072</v>
      </c>
      <c r="B1096">
        <v>6.0670760283171466E-3</v>
      </c>
      <c r="C1096">
        <v>-2.6145816185797387E-2</v>
      </c>
    </row>
    <row r="1097" spans="1:3" x14ac:dyDescent="0.2">
      <c r="A1097">
        <v>1073</v>
      </c>
      <c r="B1097">
        <v>-2.3276728625210467E-2</v>
      </c>
      <c r="C1097">
        <v>-8.2933806824077652E-4</v>
      </c>
    </row>
    <row r="1098" spans="1:3" x14ac:dyDescent="0.2">
      <c r="A1098">
        <v>1074</v>
      </c>
      <c r="B1098">
        <v>6.8953709067128726E-4</v>
      </c>
      <c r="C1098">
        <v>1.0837840430942594E-2</v>
      </c>
    </row>
    <row r="1099" spans="1:3" x14ac:dyDescent="0.2">
      <c r="A1099">
        <v>1075</v>
      </c>
      <c r="B1099">
        <v>2.4607742341776605E-2</v>
      </c>
      <c r="C1099">
        <v>-9.955727689761976E-3</v>
      </c>
    </row>
    <row r="1100" spans="1:3" x14ac:dyDescent="0.2">
      <c r="A1100">
        <v>1076</v>
      </c>
      <c r="B1100">
        <v>-1.034232448545367E-2</v>
      </c>
      <c r="C1100">
        <v>-1.3725064202873703E-2</v>
      </c>
    </row>
    <row r="1101" spans="1:3" x14ac:dyDescent="0.2">
      <c r="A1101">
        <v>1077</v>
      </c>
      <c r="B1101">
        <v>3.6445950073651641E-3</v>
      </c>
      <c r="C1101">
        <v>2.43044391068972E-2</v>
      </c>
    </row>
    <row r="1102" spans="1:3" x14ac:dyDescent="0.2">
      <c r="A1102">
        <v>1078</v>
      </c>
      <c r="B1102">
        <v>4.4541619732785618E-3</v>
      </c>
      <c r="C1102">
        <v>-1.6049523828536565E-2</v>
      </c>
    </row>
    <row r="1103" spans="1:3" x14ac:dyDescent="0.2">
      <c r="A1103">
        <v>1079</v>
      </c>
      <c r="B1103">
        <v>-4.6471074509104844E-3</v>
      </c>
      <c r="C1103">
        <v>1.9726926320824158E-4</v>
      </c>
    </row>
    <row r="1104" spans="1:3" x14ac:dyDescent="0.2">
      <c r="A1104">
        <v>1080</v>
      </c>
      <c r="B1104">
        <v>1.3302223452594627E-2</v>
      </c>
      <c r="C1104">
        <v>-2.6305067824801059E-2</v>
      </c>
    </row>
    <row r="1105" spans="1:3" x14ac:dyDescent="0.2">
      <c r="A1105">
        <v>1081</v>
      </c>
      <c r="B1105">
        <v>-4.5546614159895638E-3</v>
      </c>
      <c r="C1105">
        <v>-2.8792394985821833E-2</v>
      </c>
    </row>
    <row r="1106" spans="1:3" x14ac:dyDescent="0.2">
      <c r="A1106">
        <v>1082</v>
      </c>
      <c r="B1106">
        <v>1.5304267494632642E-2</v>
      </c>
      <c r="C1106">
        <v>4.7127682804950759E-3</v>
      </c>
    </row>
    <row r="1107" spans="1:3" x14ac:dyDescent="0.2">
      <c r="A1107">
        <v>1083</v>
      </c>
      <c r="B1107">
        <v>-3.1740136773994121E-2</v>
      </c>
      <c r="C1107">
        <v>-1.2452494473002076E-3</v>
      </c>
    </row>
    <row r="1108" spans="1:3" x14ac:dyDescent="0.2">
      <c r="A1108">
        <v>1084</v>
      </c>
      <c r="B1108">
        <v>6.5044049148232363E-3</v>
      </c>
      <c r="C1108">
        <v>-1.1685752065082346E-2</v>
      </c>
    </row>
    <row r="1109" spans="1:3" x14ac:dyDescent="0.2">
      <c r="A1109">
        <v>1085</v>
      </c>
      <c r="B1109">
        <v>-4.7264958161968946E-3</v>
      </c>
      <c r="C1109">
        <v>-1.2200587517136464E-2</v>
      </c>
    </row>
    <row r="1110" spans="1:3" x14ac:dyDescent="0.2">
      <c r="A1110">
        <v>1086</v>
      </c>
      <c r="B1110">
        <v>7.4821646834666898E-3</v>
      </c>
      <c r="C1110">
        <v>5.9626003086952879E-2</v>
      </c>
    </row>
    <row r="1111" spans="1:3" x14ac:dyDescent="0.2">
      <c r="A1111">
        <v>1087</v>
      </c>
      <c r="B1111">
        <v>-2.3770820082459541E-2</v>
      </c>
      <c r="C1111">
        <v>-2.5877504286593116E-2</v>
      </c>
    </row>
    <row r="1112" spans="1:3" x14ac:dyDescent="0.2">
      <c r="A1112">
        <v>1088</v>
      </c>
      <c r="B1112">
        <v>8.9172827901647742E-3</v>
      </c>
      <c r="C1112">
        <v>-6.115933764432234E-2</v>
      </c>
    </row>
    <row r="1113" spans="1:3" x14ac:dyDescent="0.2">
      <c r="A1113">
        <v>1089</v>
      </c>
      <c r="B1113">
        <v>-1.1214347811266753E-2</v>
      </c>
      <c r="C1113">
        <v>4.2449993194822094E-2</v>
      </c>
    </row>
    <row r="1114" spans="1:3" x14ac:dyDescent="0.2">
      <c r="A1114">
        <v>1090</v>
      </c>
      <c r="B1114">
        <v>7.8438391423610882E-3</v>
      </c>
      <c r="C1114">
        <v>-2.6552079676882168E-2</v>
      </c>
    </row>
    <row r="1115" spans="1:3" x14ac:dyDescent="0.2">
      <c r="A1115">
        <v>1091</v>
      </c>
      <c r="B1115">
        <v>-8.6638784972744593E-3</v>
      </c>
      <c r="C1115">
        <v>6.3942461777101965E-3</v>
      </c>
    </row>
    <row r="1116" spans="1:3" x14ac:dyDescent="0.2">
      <c r="A1116">
        <v>1092</v>
      </c>
      <c r="B1116">
        <v>1.9100463656689843E-2</v>
      </c>
      <c r="C1116">
        <v>3.6474890275685727E-3</v>
      </c>
    </row>
    <row r="1117" spans="1:3" x14ac:dyDescent="0.2">
      <c r="A1117">
        <v>1093</v>
      </c>
      <c r="B1117">
        <v>-3.9270153443815662E-4</v>
      </c>
      <c r="C1117">
        <v>-5.390216615027991E-3</v>
      </c>
    </row>
    <row r="1118" spans="1:3" x14ac:dyDescent="0.2">
      <c r="A1118">
        <v>1094</v>
      </c>
      <c r="B1118">
        <v>7.5609360877746546E-3</v>
      </c>
      <c r="C1118">
        <v>-1.2482636311488434E-2</v>
      </c>
    </row>
    <row r="1119" spans="1:3" x14ac:dyDescent="0.2">
      <c r="A1119">
        <v>1095</v>
      </c>
      <c r="B1119">
        <v>-4.6103796740124591E-3</v>
      </c>
      <c r="C1119">
        <v>1.4052825717177964E-2</v>
      </c>
    </row>
    <row r="1120" spans="1:3" x14ac:dyDescent="0.2">
      <c r="A1120">
        <v>1096</v>
      </c>
      <c r="B1120">
        <v>-2.104535265380977E-2</v>
      </c>
      <c r="C1120">
        <v>1.1245798088108262E-2</v>
      </c>
    </row>
    <row r="1121" spans="1:3" x14ac:dyDescent="0.2">
      <c r="A1121">
        <v>1097</v>
      </c>
      <c r="B1121">
        <v>-8.5231641063345191E-3</v>
      </c>
      <c r="C1121">
        <v>-2.1166444530642543E-2</v>
      </c>
    </row>
    <row r="1122" spans="1:3" x14ac:dyDescent="0.2">
      <c r="A1122">
        <v>1098</v>
      </c>
      <c r="B1122">
        <v>-1.8253286503643901E-2</v>
      </c>
      <c r="C1122">
        <v>-8.6359114564859944E-3</v>
      </c>
    </row>
    <row r="1123" spans="1:3" x14ac:dyDescent="0.2">
      <c r="A1123">
        <v>1099</v>
      </c>
      <c r="B1123">
        <v>2.0299136785816754E-2</v>
      </c>
      <c r="C1123">
        <v>1.7337833199890858E-2</v>
      </c>
    </row>
    <row r="1124" spans="1:3" x14ac:dyDescent="0.2">
      <c r="A1124">
        <v>1100</v>
      </c>
      <c r="B1124">
        <v>-1.7822872164030199E-2</v>
      </c>
      <c r="C1124">
        <v>6.8035884174736348E-3</v>
      </c>
    </row>
    <row r="1125" spans="1:3" x14ac:dyDescent="0.2">
      <c r="A1125">
        <v>1101</v>
      </c>
      <c r="B1125">
        <v>3.2478508368465629E-2</v>
      </c>
      <c r="C1125">
        <v>-1.1587143465958696E-2</v>
      </c>
    </row>
    <row r="1126" spans="1:3" x14ac:dyDescent="0.2">
      <c r="A1126">
        <v>1102</v>
      </c>
      <c r="B1126">
        <v>-2.7807981913611493E-3</v>
      </c>
      <c r="C1126">
        <v>1.6878115153616823E-2</v>
      </c>
    </row>
    <row r="1127" spans="1:3" x14ac:dyDescent="0.2">
      <c r="A1127">
        <v>1103</v>
      </c>
      <c r="B1127">
        <v>-2.5779969948805936E-3</v>
      </c>
      <c r="C1127">
        <v>1.3788759326719158E-2</v>
      </c>
    </row>
    <row r="1128" spans="1:3" x14ac:dyDescent="0.2">
      <c r="A1128">
        <v>1104</v>
      </c>
      <c r="B1128">
        <v>5.2222590474853929E-4</v>
      </c>
      <c r="C1128">
        <v>2.5819869555618945E-3</v>
      </c>
    </row>
    <row r="1129" spans="1:3" x14ac:dyDescent="0.2">
      <c r="A1129">
        <v>1105</v>
      </c>
      <c r="B1129">
        <v>-2.247799752000229E-3</v>
      </c>
      <c r="C1129">
        <v>-3.7539998656487931E-2</v>
      </c>
    </row>
    <row r="1130" spans="1:3" x14ac:dyDescent="0.2">
      <c r="A1130">
        <v>1106</v>
      </c>
      <c r="B1130">
        <v>1.1702488149323941E-2</v>
      </c>
      <c r="C1130">
        <v>-2.4943850185687455E-3</v>
      </c>
    </row>
    <row r="1131" spans="1:3" x14ac:dyDescent="0.2">
      <c r="A1131">
        <v>1107</v>
      </c>
      <c r="B1131">
        <v>-1.0765499955315071E-2</v>
      </c>
      <c r="C1131">
        <v>-1.5238149679721435E-2</v>
      </c>
    </row>
    <row r="1132" spans="1:3" x14ac:dyDescent="0.2">
      <c r="A1132">
        <v>1108</v>
      </c>
      <c r="B1132">
        <v>-4.7754663653152916E-2</v>
      </c>
      <c r="C1132">
        <v>-4.7043527402897481E-3</v>
      </c>
    </row>
    <row r="1133" spans="1:3" x14ac:dyDescent="0.2">
      <c r="A1133">
        <v>1109</v>
      </c>
      <c r="B1133">
        <v>2.7896966717422048E-2</v>
      </c>
      <c r="C1133">
        <v>-3.9266220301208521E-2</v>
      </c>
    </row>
    <row r="1134" spans="1:3" x14ac:dyDescent="0.2">
      <c r="A1134">
        <v>1110</v>
      </c>
      <c r="B1134">
        <v>2.5102504024420963E-2</v>
      </c>
      <c r="C1134">
        <v>1.6897495975579033E-2</v>
      </c>
    </row>
    <row r="1135" spans="1:3" x14ac:dyDescent="0.2">
      <c r="A1135">
        <v>1111</v>
      </c>
      <c r="B1135">
        <v>3.917953204032168E-2</v>
      </c>
      <c r="C1135">
        <v>-6.4131547395408037E-2</v>
      </c>
    </row>
    <row r="1136" spans="1:3" x14ac:dyDescent="0.2">
      <c r="A1136">
        <v>1112</v>
      </c>
      <c r="B1136">
        <v>-1.5164577388743824E-3</v>
      </c>
      <c r="C1136">
        <v>1.775661521918926E-2</v>
      </c>
    </row>
    <row r="1137" spans="1:3" x14ac:dyDescent="0.2">
      <c r="A1137">
        <v>1113</v>
      </c>
      <c r="B1137">
        <v>-2.9734208878788856E-2</v>
      </c>
      <c r="C1137">
        <v>2.2470286360629116E-2</v>
      </c>
    </row>
    <row r="1138" spans="1:3" x14ac:dyDescent="0.2">
      <c r="A1138">
        <v>1114</v>
      </c>
      <c r="B1138">
        <v>-1.1565454454818484E-3</v>
      </c>
      <c r="C1138">
        <v>7.010203982067263E-3</v>
      </c>
    </row>
    <row r="1139" spans="1:3" x14ac:dyDescent="0.2">
      <c r="A1139">
        <v>1115</v>
      </c>
      <c r="B1139">
        <v>-9.9550644773898876E-3</v>
      </c>
      <c r="C1139">
        <v>1.5289691053529529E-2</v>
      </c>
    </row>
    <row r="1140" spans="1:3" x14ac:dyDescent="0.2">
      <c r="A1140">
        <v>1116</v>
      </c>
      <c r="B1140">
        <v>-2.2039464679035149E-2</v>
      </c>
      <c r="C1140">
        <v>4.3747134722450454E-2</v>
      </c>
    </row>
    <row r="1141" spans="1:3" x14ac:dyDescent="0.2">
      <c r="A1141">
        <v>1117</v>
      </c>
      <c r="B1141">
        <v>-4.82362366539601E-3</v>
      </c>
      <c r="C1141">
        <v>1.7099355487870116E-2</v>
      </c>
    </row>
    <row r="1142" spans="1:3" x14ac:dyDescent="0.2">
      <c r="A1142">
        <v>1118</v>
      </c>
      <c r="B1142">
        <v>-1.4299306529819941E-2</v>
      </c>
      <c r="C1142">
        <v>2.6388587686259121E-3</v>
      </c>
    </row>
    <row r="1143" spans="1:3" x14ac:dyDescent="0.2">
      <c r="A1143">
        <v>1119</v>
      </c>
      <c r="B1143">
        <v>1.8172317760933587E-2</v>
      </c>
      <c r="C1143">
        <v>-3.2329939280518333E-2</v>
      </c>
    </row>
    <row r="1144" spans="1:3" x14ac:dyDescent="0.2">
      <c r="A1144">
        <v>1120</v>
      </c>
      <c r="B1144">
        <v>-1.5672996652254179E-2</v>
      </c>
      <c r="C1144">
        <v>2.9076539017022063E-2</v>
      </c>
    </row>
    <row r="1145" spans="1:3" x14ac:dyDescent="0.2">
      <c r="A1145">
        <v>1121</v>
      </c>
      <c r="B1145">
        <v>8.4457810537761464E-4</v>
      </c>
      <c r="C1145">
        <v>-1.9266873806841976E-2</v>
      </c>
    </row>
    <row r="1146" spans="1:3" x14ac:dyDescent="0.2">
      <c r="A1146">
        <v>1122</v>
      </c>
      <c r="B1146">
        <v>-3.4517418496057738E-2</v>
      </c>
      <c r="C1146">
        <v>1.3124136837381409E-3</v>
      </c>
    </row>
    <row r="1147" spans="1:3" x14ac:dyDescent="0.2">
      <c r="A1147">
        <v>1123</v>
      </c>
      <c r="B1147">
        <v>-2.6905475333717625E-2</v>
      </c>
      <c r="C1147">
        <v>-1.2417570957969738E-2</v>
      </c>
    </row>
    <row r="1148" spans="1:3" x14ac:dyDescent="0.2">
      <c r="A1148">
        <v>1124</v>
      </c>
      <c r="B1148">
        <v>1.1497240881286511E-2</v>
      </c>
      <c r="C1148">
        <v>2.4923964244129484E-3</v>
      </c>
    </row>
    <row r="1149" spans="1:3" x14ac:dyDescent="0.2">
      <c r="A1149">
        <v>1125</v>
      </c>
      <c r="B1149">
        <v>4.0533176717582825E-3</v>
      </c>
      <c r="C1149">
        <v>2.7116840733964736E-2</v>
      </c>
    </row>
    <row r="1150" spans="1:3" x14ac:dyDescent="0.2">
      <c r="A1150">
        <v>1126</v>
      </c>
      <c r="B1150">
        <v>-4.9612802635052447E-3</v>
      </c>
      <c r="C1150">
        <v>-5.4503536386643382E-2</v>
      </c>
    </row>
    <row r="1151" spans="1:3" x14ac:dyDescent="0.2">
      <c r="A1151">
        <v>1127</v>
      </c>
      <c r="B1151">
        <v>-2.2824042100912541E-2</v>
      </c>
      <c r="C1151">
        <v>-1.9388662236395592E-3</v>
      </c>
    </row>
    <row r="1152" spans="1:3" x14ac:dyDescent="0.2">
      <c r="A1152">
        <v>1128</v>
      </c>
      <c r="B1152">
        <v>-1.4923042550208003E-2</v>
      </c>
      <c r="C1152">
        <v>2.8969503922439119E-2</v>
      </c>
    </row>
    <row r="1153" spans="1:3" x14ac:dyDescent="0.2">
      <c r="A1153">
        <v>1129</v>
      </c>
      <c r="B1153">
        <v>-1.741714849250597E-2</v>
      </c>
      <c r="C1153">
        <v>2.4875859201083518E-2</v>
      </c>
    </row>
    <row r="1154" spans="1:3" x14ac:dyDescent="0.2">
      <c r="A1154">
        <v>1130</v>
      </c>
      <c r="B1154">
        <v>2.2067891427278486E-2</v>
      </c>
      <c r="C1154">
        <v>-8.4997558270218793E-2</v>
      </c>
    </row>
    <row r="1155" spans="1:3" x14ac:dyDescent="0.2">
      <c r="A1155">
        <v>1131</v>
      </c>
      <c r="B1155">
        <v>-3.9823646542157228E-3</v>
      </c>
      <c r="C1155">
        <v>3.9823646542157228E-3</v>
      </c>
    </row>
    <row r="1156" spans="1:3" x14ac:dyDescent="0.2">
      <c r="A1156">
        <v>1132</v>
      </c>
      <c r="B1156">
        <v>1.3962322698204686E-2</v>
      </c>
      <c r="C1156">
        <v>-1.5655324955540895E-2</v>
      </c>
    </row>
    <row r="1157" spans="1:3" x14ac:dyDescent="0.2">
      <c r="A1157">
        <v>1133</v>
      </c>
      <c r="B1157">
        <v>-1.6372011944889905E-2</v>
      </c>
      <c r="C1157">
        <v>8.4579361958791333E-3</v>
      </c>
    </row>
    <row r="1158" spans="1:3" x14ac:dyDescent="0.2">
      <c r="A1158">
        <v>1134</v>
      </c>
      <c r="B1158">
        <v>-8.9910344405217564E-3</v>
      </c>
      <c r="C1158">
        <v>8.4212338707210978E-3</v>
      </c>
    </row>
    <row r="1159" spans="1:3" x14ac:dyDescent="0.2">
      <c r="A1159">
        <v>1135</v>
      </c>
      <c r="B1159">
        <v>3.2231382865865539E-3</v>
      </c>
      <c r="C1159">
        <v>-2.4887904535161185E-2</v>
      </c>
    </row>
    <row r="1160" spans="1:3" x14ac:dyDescent="0.2">
      <c r="A1160">
        <v>1136</v>
      </c>
      <c r="B1160">
        <v>2.8441601568236718E-3</v>
      </c>
      <c r="C1160">
        <v>-1.6830174142837565E-2</v>
      </c>
    </row>
    <row r="1161" spans="1:3" x14ac:dyDescent="0.2">
      <c r="A1161">
        <v>1137</v>
      </c>
      <c r="B1161">
        <v>-2.0643066324410968E-2</v>
      </c>
      <c r="C1161">
        <v>-1.0680810744147017E-2</v>
      </c>
    </row>
    <row r="1162" spans="1:3" x14ac:dyDescent="0.2">
      <c r="A1162">
        <v>1138</v>
      </c>
      <c r="B1162">
        <v>-1.5334274539452878E-2</v>
      </c>
      <c r="C1162">
        <v>8.1071366786618707E-5</v>
      </c>
    </row>
    <row r="1163" spans="1:3" x14ac:dyDescent="0.2">
      <c r="A1163">
        <v>1139</v>
      </c>
      <c r="B1163">
        <v>6.4414166461805422E-2</v>
      </c>
      <c r="C1163">
        <v>-3.3435232137146192E-2</v>
      </c>
    </row>
    <row r="1164" spans="1:3" x14ac:dyDescent="0.2">
      <c r="A1164">
        <v>1140</v>
      </c>
      <c r="B1164">
        <v>-3.0421872085144668E-2</v>
      </c>
      <c r="C1164">
        <v>1.1792064392836841E-2</v>
      </c>
    </row>
    <row r="1165" spans="1:3" x14ac:dyDescent="0.2">
      <c r="A1165">
        <v>1141</v>
      </c>
      <c r="B1165">
        <v>-1.9310360883850932E-2</v>
      </c>
      <c r="C1165">
        <v>5.3603073682381389E-2</v>
      </c>
    </row>
    <row r="1166" spans="1:3" x14ac:dyDescent="0.2">
      <c r="A1166">
        <v>1142</v>
      </c>
      <c r="B1166">
        <v>1.437558842209589E-3</v>
      </c>
      <c r="C1166">
        <v>-3.1632940724980553E-2</v>
      </c>
    </row>
    <row r="1167" spans="1:3" x14ac:dyDescent="0.2">
      <c r="A1167">
        <v>1143</v>
      </c>
      <c r="B1167">
        <v>-2.0749040658941176E-2</v>
      </c>
      <c r="C1167">
        <v>-2.8091008181107602E-2</v>
      </c>
    </row>
    <row r="1168" spans="1:3" x14ac:dyDescent="0.2">
      <c r="A1168">
        <v>1144</v>
      </c>
      <c r="B1168">
        <v>-6.8717415939965236E-3</v>
      </c>
      <c r="C1168">
        <v>2.0350560592712768E-2</v>
      </c>
    </row>
    <row r="1169" spans="1:3" x14ac:dyDescent="0.2">
      <c r="A1169">
        <v>1145</v>
      </c>
      <c r="B1169">
        <v>1.1510869168637807E-5</v>
      </c>
      <c r="C1169">
        <v>1.6454606926904924E-2</v>
      </c>
    </row>
    <row r="1170" spans="1:3" x14ac:dyDescent="0.2">
      <c r="A1170">
        <v>1146</v>
      </c>
      <c r="B1170">
        <v>9.2097974056709272E-4</v>
      </c>
      <c r="C1170">
        <v>1.5712320974390847E-3</v>
      </c>
    </row>
    <row r="1171" spans="1:3" x14ac:dyDescent="0.2">
      <c r="A1171">
        <v>1147</v>
      </c>
      <c r="B1171">
        <v>3.2317469554172633E-2</v>
      </c>
      <c r="C1171">
        <v>2.2996389985914412E-2</v>
      </c>
    </row>
    <row r="1172" spans="1:3" x14ac:dyDescent="0.2">
      <c r="A1172">
        <v>1148</v>
      </c>
      <c r="B1172">
        <v>3.0077415351623116E-2</v>
      </c>
      <c r="C1172">
        <v>1.4681124106562866E-2</v>
      </c>
    </row>
    <row r="1173" spans="1:3" x14ac:dyDescent="0.2">
      <c r="A1173">
        <v>1149</v>
      </c>
      <c r="B1173">
        <v>-1.7779851618741276E-2</v>
      </c>
      <c r="C1173">
        <v>-3.4080351312487489E-2</v>
      </c>
    </row>
    <row r="1174" spans="1:3" x14ac:dyDescent="0.2">
      <c r="A1174">
        <v>1150</v>
      </c>
      <c r="B1174">
        <v>1.2631144423879977E-2</v>
      </c>
      <c r="C1174">
        <v>1.7689901949484946E-2</v>
      </c>
    </row>
    <row r="1175" spans="1:3" x14ac:dyDescent="0.2">
      <c r="A1175">
        <v>1151</v>
      </c>
      <c r="B1175">
        <v>4.1599736296530302E-3</v>
      </c>
      <c r="C1175">
        <v>-4.9745663185336769E-2</v>
      </c>
    </row>
    <row r="1176" spans="1:3" x14ac:dyDescent="0.2">
      <c r="A1176">
        <v>1152</v>
      </c>
      <c r="B1176">
        <v>-2.3708120684837426E-2</v>
      </c>
      <c r="C1176">
        <v>2.2498930842032132E-2</v>
      </c>
    </row>
    <row r="1177" spans="1:3" x14ac:dyDescent="0.2">
      <c r="A1177">
        <v>1153</v>
      </c>
      <c r="B1177">
        <v>-4.2137751262863121E-2</v>
      </c>
      <c r="C1177">
        <v>-8.1043794877422096E-3</v>
      </c>
    </row>
    <row r="1178" spans="1:3" x14ac:dyDescent="0.2">
      <c r="A1178">
        <v>1154</v>
      </c>
      <c r="B1178">
        <v>9.9733334138218648E-3</v>
      </c>
      <c r="C1178">
        <v>-8.0612875247204532E-3</v>
      </c>
    </row>
    <row r="1179" spans="1:3" x14ac:dyDescent="0.2">
      <c r="A1179">
        <v>1155</v>
      </c>
      <c r="B1179">
        <v>5.0818449408965953E-3</v>
      </c>
      <c r="C1179">
        <v>-2.0985152828937308E-2</v>
      </c>
    </row>
    <row r="1180" spans="1:3" x14ac:dyDescent="0.2">
      <c r="A1180">
        <v>1156</v>
      </c>
      <c r="B1180">
        <v>-5.160894146078869E-2</v>
      </c>
      <c r="C1180">
        <v>6.0658715216444718E-2</v>
      </c>
    </row>
    <row r="1181" spans="1:3" x14ac:dyDescent="0.2">
      <c r="A1181">
        <v>1157</v>
      </c>
      <c r="B1181">
        <v>1.9990460922890845E-2</v>
      </c>
      <c r="C1181">
        <v>2.7415048366026647E-2</v>
      </c>
    </row>
    <row r="1182" spans="1:3" x14ac:dyDescent="0.2">
      <c r="A1182">
        <v>1158</v>
      </c>
      <c r="B1182">
        <v>2.4585800012916558E-2</v>
      </c>
      <c r="C1182">
        <v>-1.7857971266739225E-2</v>
      </c>
    </row>
    <row r="1183" spans="1:3" x14ac:dyDescent="0.2">
      <c r="A1183">
        <v>1159</v>
      </c>
      <c r="B1183">
        <v>-4.3196376152671911E-2</v>
      </c>
      <c r="C1183">
        <v>1.5249839093133585E-2</v>
      </c>
    </row>
    <row r="1184" spans="1:3" x14ac:dyDescent="0.2">
      <c r="A1184">
        <v>1160</v>
      </c>
      <c r="B1184">
        <v>2.0371005603071455E-2</v>
      </c>
      <c r="C1184">
        <v>-4.2871005603071416E-2</v>
      </c>
    </row>
    <row r="1185" spans="1:3" x14ac:dyDescent="0.2">
      <c r="A1185">
        <v>1161</v>
      </c>
      <c r="B1185">
        <v>-7.7946680658414758E-2</v>
      </c>
      <c r="C1185">
        <v>-1.3485544405523839E-2</v>
      </c>
    </row>
    <row r="1186" spans="1:3" x14ac:dyDescent="0.2">
      <c r="A1186">
        <v>1162</v>
      </c>
      <c r="B1186">
        <v>6.7362787175846608E-2</v>
      </c>
      <c r="C1186">
        <v>-7.7215003924615125E-2</v>
      </c>
    </row>
    <row r="1187" spans="1:3" x14ac:dyDescent="0.2">
      <c r="A1187">
        <v>1163</v>
      </c>
      <c r="B1187">
        <v>-3.1936834779370524E-2</v>
      </c>
      <c r="C1187">
        <v>-8.1780293863131223E-2</v>
      </c>
    </row>
    <row r="1188" spans="1:3" x14ac:dyDescent="0.2">
      <c r="A1188">
        <v>1164</v>
      </c>
      <c r="B1188">
        <v>-6.3994031967579801E-2</v>
      </c>
      <c r="C1188">
        <v>-0.10040051494501046</v>
      </c>
    </row>
    <row r="1189" spans="1:3" x14ac:dyDescent="0.2">
      <c r="A1189">
        <v>1165</v>
      </c>
      <c r="B1189">
        <v>-5.0470870832942098E-2</v>
      </c>
      <c r="C1189">
        <v>3.2236705765763644E-2</v>
      </c>
    </row>
    <row r="1190" spans="1:3" x14ac:dyDescent="0.2">
      <c r="A1190">
        <v>1166</v>
      </c>
      <c r="B1190">
        <v>8.0030765963039263E-2</v>
      </c>
      <c r="C1190">
        <v>8.6147142150352657E-2</v>
      </c>
    </row>
    <row r="1191" spans="1:3" x14ac:dyDescent="0.2">
      <c r="A1191">
        <v>1167</v>
      </c>
      <c r="B1191">
        <v>-1.1903214080112813E-2</v>
      </c>
      <c r="C1191">
        <v>-1.4919920873784949E-2</v>
      </c>
    </row>
    <row r="1192" spans="1:3" x14ac:dyDescent="0.2">
      <c r="A1192">
        <v>1168</v>
      </c>
      <c r="B1192">
        <v>4.948153429458578E-2</v>
      </c>
      <c r="C1192">
        <v>-2.8809699669262764E-2</v>
      </c>
    </row>
    <row r="1193" spans="1:3" x14ac:dyDescent="0.2">
      <c r="A1193">
        <v>1169</v>
      </c>
      <c r="B1193">
        <v>8.4111475411893094E-2</v>
      </c>
      <c r="C1193">
        <v>9.31037144615246E-2</v>
      </c>
    </row>
    <row r="1194" spans="1:3" x14ac:dyDescent="0.2">
      <c r="A1194">
        <v>1170</v>
      </c>
      <c r="B1194">
        <v>-6.5225104656170041E-2</v>
      </c>
      <c r="C1194">
        <v>5.2321878849718451E-2</v>
      </c>
    </row>
    <row r="1195" spans="1:3" x14ac:dyDescent="0.2">
      <c r="A1195">
        <v>1171</v>
      </c>
      <c r="B1195">
        <v>0.13265627141633651</v>
      </c>
      <c r="C1195">
        <v>-5.5683992304250973E-3</v>
      </c>
    </row>
    <row r="1196" spans="1:3" x14ac:dyDescent="0.2">
      <c r="A1196">
        <v>1172</v>
      </c>
      <c r="B1196">
        <v>-4.9854086322358326E-2</v>
      </c>
      <c r="C1196">
        <v>-3.004282089413654E-2</v>
      </c>
    </row>
    <row r="1197" spans="1:3" x14ac:dyDescent="0.2">
      <c r="A1197">
        <v>1173</v>
      </c>
      <c r="B1197">
        <v>9.8103963564114868E-2</v>
      </c>
      <c r="C1197">
        <v>-2.8075952359633075E-2</v>
      </c>
    </row>
    <row r="1198" spans="1:3" x14ac:dyDescent="0.2">
      <c r="A1198">
        <v>1174</v>
      </c>
      <c r="B1198">
        <v>4.4796067661598195E-2</v>
      </c>
      <c r="C1198">
        <v>1.8685607731072008E-2</v>
      </c>
    </row>
    <row r="1199" spans="1:3" x14ac:dyDescent="0.2">
      <c r="A1199">
        <v>1175</v>
      </c>
      <c r="B1199">
        <v>-3.6732811149440846E-2</v>
      </c>
      <c r="C1199">
        <v>-4.4979580813283779E-3</v>
      </c>
    </row>
    <row r="1200" spans="1:3" x14ac:dyDescent="0.2">
      <c r="A1200">
        <v>1176</v>
      </c>
      <c r="B1200">
        <v>0.10060307334202589</v>
      </c>
      <c r="C1200">
        <v>1.1720418313943187E-2</v>
      </c>
    </row>
    <row r="1201" spans="1:3" x14ac:dyDescent="0.2">
      <c r="A1201">
        <v>1177</v>
      </c>
      <c r="B1201">
        <v>3.6892164005478206E-2</v>
      </c>
      <c r="C1201">
        <v>5.808355325162419E-3</v>
      </c>
    </row>
    <row r="1202" spans="1:3" x14ac:dyDescent="0.2">
      <c r="A1202">
        <v>1178</v>
      </c>
      <c r="B1202">
        <v>-1.4640026711944788E-2</v>
      </c>
      <c r="C1202">
        <v>-9.156320825409927E-3</v>
      </c>
    </row>
    <row r="1203" spans="1:3" x14ac:dyDescent="0.2">
      <c r="A1203">
        <v>1179</v>
      </c>
      <c r="B1203">
        <v>2.2083888592471932E-2</v>
      </c>
      <c r="C1203">
        <v>1.9866224786212788E-2</v>
      </c>
    </row>
    <row r="1204" spans="1:3" x14ac:dyDescent="0.2">
      <c r="A1204">
        <v>1180</v>
      </c>
      <c r="B1204">
        <v>-1.0017216434589638E-2</v>
      </c>
      <c r="C1204">
        <v>1.2193494998245933E-2</v>
      </c>
    </row>
    <row r="1205" spans="1:3" x14ac:dyDescent="0.2">
      <c r="A1205">
        <v>1181</v>
      </c>
      <c r="B1205">
        <v>9.6184328489982152E-3</v>
      </c>
      <c r="C1205">
        <v>-9.0755446839603203E-3</v>
      </c>
    </row>
    <row r="1206" spans="1:3" x14ac:dyDescent="0.2">
      <c r="A1206">
        <v>1182</v>
      </c>
      <c r="B1206">
        <v>4.3563109238068137E-2</v>
      </c>
      <c r="C1206">
        <v>-1.5562144642403825E-4</v>
      </c>
    </row>
    <row r="1207" spans="1:3" x14ac:dyDescent="0.2">
      <c r="A1207">
        <v>1183</v>
      </c>
      <c r="B1207">
        <v>9.7579561083644788E-3</v>
      </c>
      <c r="C1207">
        <v>7.9227511199246453E-3</v>
      </c>
    </row>
    <row r="1208" spans="1:3" x14ac:dyDescent="0.2">
      <c r="A1208">
        <v>1184</v>
      </c>
      <c r="B1208">
        <v>3.0089312738821865E-2</v>
      </c>
      <c r="C1208">
        <v>-8.6278921971765822E-3</v>
      </c>
    </row>
    <row r="1209" spans="1:3" x14ac:dyDescent="0.2">
      <c r="A1209">
        <v>1185</v>
      </c>
      <c r="B1209">
        <v>2.0029886665758591E-2</v>
      </c>
      <c r="C1209">
        <v>-1.5027385415133206E-2</v>
      </c>
    </row>
    <row r="1210" spans="1:3" x14ac:dyDescent="0.2">
      <c r="A1210">
        <v>1186</v>
      </c>
      <c r="B1210">
        <v>2.9250034737893119E-2</v>
      </c>
      <c r="C1210">
        <v>-6.8508311540205827E-3</v>
      </c>
    </row>
    <row r="1211" spans="1:3" x14ac:dyDescent="0.2">
      <c r="A1211">
        <v>1187</v>
      </c>
      <c r="B1211">
        <v>4.1016314473290164E-3</v>
      </c>
      <c r="C1211">
        <v>1.5859420159292217E-2</v>
      </c>
    </row>
    <row r="1212" spans="1:3" x14ac:dyDescent="0.2">
      <c r="A1212">
        <v>1188</v>
      </c>
      <c r="B1212">
        <v>-3.3247305032185932E-3</v>
      </c>
      <c r="C1212">
        <v>3.0532367734722187E-2</v>
      </c>
    </row>
    <row r="1213" spans="1:3" x14ac:dyDescent="0.2">
      <c r="A1213">
        <v>1189</v>
      </c>
      <c r="B1213">
        <v>-5.3031601449080546E-3</v>
      </c>
      <c r="C1213">
        <v>1.3202788397696237E-2</v>
      </c>
    </row>
    <row r="1214" spans="1:3" x14ac:dyDescent="0.2">
      <c r="A1214">
        <v>1190</v>
      </c>
      <c r="B1214">
        <v>2.0310686433824467E-3</v>
      </c>
      <c r="C1214">
        <v>3.4852287742048495E-2</v>
      </c>
    </row>
    <row r="1215" spans="1:3" x14ac:dyDescent="0.2">
      <c r="A1215">
        <v>1191</v>
      </c>
      <c r="B1215">
        <v>8.0343670154661684E-4</v>
      </c>
      <c r="C1215">
        <v>1.6092961697742072E-2</v>
      </c>
    </row>
    <row r="1216" spans="1:3" x14ac:dyDescent="0.2">
      <c r="A1216">
        <v>1192</v>
      </c>
      <c r="B1216">
        <v>-2.6281174319405697E-4</v>
      </c>
      <c r="C1216">
        <v>4.6611740470784729E-2</v>
      </c>
    </row>
    <row r="1217" spans="1:3" x14ac:dyDescent="0.2">
      <c r="A1217">
        <v>1193</v>
      </c>
      <c r="B1217">
        <v>-7.4938045184485998E-3</v>
      </c>
      <c r="C1217">
        <v>-0.20897088415685436</v>
      </c>
    </row>
    <row r="1218" spans="1:3" x14ac:dyDescent="0.2">
      <c r="A1218">
        <v>1194</v>
      </c>
      <c r="B1218">
        <v>-8.9543724497493445E-4</v>
      </c>
      <c r="C1218">
        <v>-3.0571229421691722E-2</v>
      </c>
    </row>
    <row r="1219" spans="1:3" x14ac:dyDescent="0.2">
      <c r="A1219">
        <v>1195</v>
      </c>
      <c r="B1219">
        <v>-1.3146667686855802E-2</v>
      </c>
      <c r="C1219">
        <v>3.2347734137280638E-3</v>
      </c>
    </row>
    <row r="1220" spans="1:3" x14ac:dyDescent="0.2">
      <c r="A1220">
        <v>1196</v>
      </c>
      <c r="B1220">
        <v>2.1517360157380042E-3</v>
      </c>
      <c r="C1220">
        <v>-3.8202565941585346E-3</v>
      </c>
    </row>
    <row r="1221" spans="1:3" x14ac:dyDescent="0.2">
      <c r="A1221">
        <v>1197</v>
      </c>
      <c r="B1221">
        <v>4.2210736141343056E-3</v>
      </c>
      <c r="C1221">
        <v>-3.1068674860006244E-3</v>
      </c>
    </row>
    <row r="1222" spans="1:3" x14ac:dyDescent="0.2">
      <c r="A1222">
        <v>1198</v>
      </c>
      <c r="B1222">
        <v>-1.1814587122655025E-2</v>
      </c>
      <c r="C1222">
        <v>1.7978926318370104E-3</v>
      </c>
    </row>
    <row r="1223" spans="1:3" x14ac:dyDescent="0.2">
      <c r="A1223">
        <v>1199</v>
      </c>
      <c r="B1223">
        <v>-6.1640369380300368E-3</v>
      </c>
      <c r="C1223">
        <v>-4.7236750020935636E-2</v>
      </c>
    </row>
    <row r="1224" spans="1:3" x14ac:dyDescent="0.2">
      <c r="A1224">
        <v>1200</v>
      </c>
      <c r="B1224">
        <v>-5.1890959289692768E-3</v>
      </c>
      <c r="C1224">
        <v>1.8847053173624884E-2</v>
      </c>
    </row>
    <row r="1225" spans="1:3" x14ac:dyDescent="0.2">
      <c r="A1225">
        <v>1201</v>
      </c>
      <c r="B1225">
        <v>1.7987074237142991E-2</v>
      </c>
      <c r="C1225">
        <v>8.3749644271803418E-3</v>
      </c>
    </row>
    <row r="1226" spans="1:3" x14ac:dyDescent="0.2">
      <c r="A1226">
        <v>1202</v>
      </c>
      <c r="B1226">
        <v>-2.4612825623906618E-3</v>
      </c>
      <c r="C1226">
        <v>-1.5341512275636924E-3</v>
      </c>
    </row>
    <row r="1227" spans="1:3" x14ac:dyDescent="0.2">
      <c r="A1227">
        <v>1203</v>
      </c>
      <c r="B1227">
        <v>4.6197348738794943E-3</v>
      </c>
      <c r="C1227">
        <v>9.7069126905904198E-3</v>
      </c>
    </row>
    <row r="1228" spans="1:3" x14ac:dyDescent="0.2">
      <c r="A1228">
        <v>1204</v>
      </c>
      <c r="B1228">
        <v>-1.3953477598919056E-3</v>
      </c>
      <c r="C1228">
        <v>2.5252912627167405E-3</v>
      </c>
    </row>
    <row r="1229" spans="1:3" x14ac:dyDescent="0.2">
      <c r="A1229">
        <v>1205</v>
      </c>
      <c r="B1229">
        <v>1.2856318052850353E-2</v>
      </c>
      <c r="C1229">
        <v>1.3667383978752496E-2</v>
      </c>
    </row>
    <row r="1230" spans="1:3" x14ac:dyDescent="0.2">
      <c r="A1230">
        <v>1206</v>
      </c>
      <c r="B1230">
        <v>-9.6387288587040834E-4</v>
      </c>
      <c r="C1230">
        <v>-2.3346427820791389E-3</v>
      </c>
    </row>
    <row r="1231" spans="1:3" x14ac:dyDescent="0.2">
      <c r="A1231">
        <v>1207</v>
      </c>
      <c r="B1231">
        <v>8.539046905154668E-3</v>
      </c>
      <c r="C1231">
        <v>-6.3327589845808847E-3</v>
      </c>
    </row>
    <row r="1232" spans="1:3" x14ac:dyDescent="0.2">
      <c r="A1232">
        <v>1208</v>
      </c>
      <c r="B1232">
        <v>-1.2155726991958665E-2</v>
      </c>
      <c r="C1232">
        <v>-1.7563590564453148E-2</v>
      </c>
    </row>
    <row r="1233" spans="1:3" x14ac:dyDescent="0.2">
      <c r="A1233">
        <v>1209</v>
      </c>
      <c r="B1233">
        <v>2.5496062293976379E-3</v>
      </c>
      <c r="C1233">
        <v>3.2617722188072643E-2</v>
      </c>
    </row>
    <row r="1234" spans="1:3" x14ac:dyDescent="0.2">
      <c r="A1234">
        <v>1210</v>
      </c>
      <c r="B1234">
        <v>-3.0343496864918768E-3</v>
      </c>
      <c r="C1234">
        <v>8.4256886457411513E-4</v>
      </c>
    </row>
    <row r="1235" spans="1:3" x14ac:dyDescent="0.2">
      <c r="A1235">
        <v>1211</v>
      </c>
      <c r="B1235">
        <v>-4.0426359693373241E-3</v>
      </c>
      <c r="C1235">
        <v>1.447646353660793E-2</v>
      </c>
    </row>
    <row r="1236" spans="1:3" x14ac:dyDescent="0.2">
      <c r="A1236">
        <v>1212</v>
      </c>
      <c r="B1236">
        <v>-8.1802767737046474E-3</v>
      </c>
      <c r="C1236">
        <v>-5.1537540020840482E-4</v>
      </c>
    </row>
    <row r="1237" spans="1:3" x14ac:dyDescent="0.2">
      <c r="A1237">
        <v>1213</v>
      </c>
      <c r="B1237">
        <v>-6.5272137309106415E-3</v>
      </c>
      <c r="C1237">
        <v>1.9685108467752857E-2</v>
      </c>
    </row>
    <row r="1238" spans="1:3" x14ac:dyDescent="0.2">
      <c r="A1238">
        <v>1214</v>
      </c>
      <c r="B1238">
        <v>-1.0535701042276064E-2</v>
      </c>
      <c r="C1238">
        <v>-6.7803162737412655E-3</v>
      </c>
    </row>
    <row r="1239" spans="1:3" x14ac:dyDescent="0.2">
      <c r="A1239">
        <v>1215</v>
      </c>
      <c r="B1239">
        <v>3.6738730636582989E-3</v>
      </c>
      <c r="C1239">
        <v>-9.7311417861252279E-3</v>
      </c>
    </row>
    <row r="1240" spans="1:3" x14ac:dyDescent="0.2">
      <c r="A1240">
        <v>1216</v>
      </c>
      <c r="B1240">
        <v>-9.2800169701669037E-3</v>
      </c>
      <c r="C1240">
        <v>-5.678431783295676E-3</v>
      </c>
    </row>
    <row r="1241" spans="1:3" x14ac:dyDescent="0.2">
      <c r="A1241">
        <v>1217</v>
      </c>
      <c r="B1241">
        <v>-1.1295287811324934E-2</v>
      </c>
      <c r="C1241">
        <v>-1.6263767306785415E-2</v>
      </c>
    </row>
    <row r="1242" spans="1:3" x14ac:dyDescent="0.2">
      <c r="A1242">
        <v>1218</v>
      </c>
      <c r="B1242">
        <v>2.231036455313203E-3</v>
      </c>
      <c r="C1242">
        <v>-1.032820244721607E-2</v>
      </c>
    </row>
    <row r="1243" spans="1:3" x14ac:dyDescent="0.2">
      <c r="A1243">
        <v>1219</v>
      </c>
      <c r="B1243">
        <v>-1.589799399072599E-2</v>
      </c>
      <c r="C1243">
        <v>1.9038248945161679E-3</v>
      </c>
    </row>
    <row r="1244" spans="1:3" x14ac:dyDescent="0.2">
      <c r="A1244">
        <v>1220</v>
      </c>
      <c r="B1244">
        <v>-6.3284098252896169E-4</v>
      </c>
      <c r="C1244">
        <v>-1.1412571842363333E-3</v>
      </c>
    </row>
    <row r="1245" spans="1:3" x14ac:dyDescent="0.2">
      <c r="A1245">
        <v>1221</v>
      </c>
      <c r="B1245">
        <v>-8.5506501084330888E-3</v>
      </c>
      <c r="C1245">
        <v>-9.8142788015194438E-3</v>
      </c>
    </row>
    <row r="1246" spans="1:3" x14ac:dyDescent="0.2">
      <c r="A1246">
        <v>1222</v>
      </c>
      <c r="B1246">
        <v>-1.6365724014781595E-3</v>
      </c>
      <c r="C1246">
        <v>-9.2264330300245393E-3</v>
      </c>
    </row>
    <row r="1247" spans="1:3" x14ac:dyDescent="0.2">
      <c r="A1247">
        <v>1223</v>
      </c>
      <c r="B1247">
        <v>2.189102664305273E-2</v>
      </c>
      <c r="C1247">
        <v>8.0052515753730423E-3</v>
      </c>
    </row>
    <row r="1248" spans="1:3" x14ac:dyDescent="0.2">
      <c r="A1248">
        <v>1224</v>
      </c>
      <c r="B1248">
        <v>2.4528949016464816E-3</v>
      </c>
      <c r="C1248">
        <v>-2.2595074996433203E-2</v>
      </c>
    </row>
    <row r="1249" spans="1:3" x14ac:dyDescent="0.2">
      <c r="A1249">
        <v>1225</v>
      </c>
      <c r="B1249">
        <v>-5.669057884221099E-3</v>
      </c>
      <c r="C1249">
        <v>2.646083277207755E-3</v>
      </c>
    </row>
    <row r="1250" spans="1:3" x14ac:dyDescent="0.2">
      <c r="A1250">
        <v>1226</v>
      </c>
      <c r="B1250">
        <v>-2.3662545907287258E-3</v>
      </c>
      <c r="C1250">
        <v>-4.9108830684585058E-3</v>
      </c>
    </row>
    <row r="1251" spans="1:3" x14ac:dyDescent="0.2">
      <c r="A1251">
        <v>1227</v>
      </c>
      <c r="B1251">
        <v>5.209511682347354E-3</v>
      </c>
      <c r="C1251">
        <v>-3.2087947846061539E-2</v>
      </c>
    </row>
    <row r="1252" spans="1:3" x14ac:dyDescent="0.2">
      <c r="A1252">
        <v>1228</v>
      </c>
      <c r="B1252">
        <v>3.0898326142545464E-3</v>
      </c>
      <c r="C1252">
        <v>5.0708704617027046E-3</v>
      </c>
    </row>
    <row r="1253" spans="1:3" x14ac:dyDescent="0.2">
      <c r="A1253">
        <v>1229</v>
      </c>
      <c r="B1253">
        <v>4.2083823228269727E-3</v>
      </c>
      <c r="C1253">
        <v>1.395602733212869E-3</v>
      </c>
    </row>
    <row r="1254" spans="1:3" x14ac:dyDescent="0.2">
      <c r="A1254">
        <v>1230</v>
      </c>
      <c r="B1254">
        <v>-3.2173056943678455E-3</v>
      </c>
      <c r="C1254">
        <v>1.3743621483841638E-2</v>
      </c>
    </row>
    <row r="1255" spans="1:3" x14ac:dyDescent="0.2">
      <c r="A1255">
        <v>1231</v>
      </c>
      <c r="B1255">
        <v>9.9012926582899268E-5</v>
      </c>
      <c r="C1255">
        <v>9.7049086420445598E-3</v>
      </c>
    </row>
    <row r="1256" spans="1:3" x14ac:dyDescent="0.2">
      <c r="A1256">
        <v>1232</v>
      </c>
      <c r="B1256">
        <v>-1.978193270379857E-2</v>
      </c>
      <c r="C1256">
        <v>-3.2763197233858336E-3</v>
      </c>
    </row>
    <row r="1257" spans="1:3" x14ac:dyDescent="0.2">
      <c r="A1257">
        <v>1233</v>
      </c>
      <c r="B1257">
        <v>-6.461182847146813E-3</v>
      </c>
      <c r="C1257">
        <v>-2.148912771185946E-2</v>
      </c>
    </row>
    <row r="1258" spans="1:3" x14ac:dyDescent="0.2">
      <c r="A1258">
        <v>1234</v>
      </c>
      <c r="B1258">
        <v>7.6302151265871644E-3</v>
      </c>
      <c r="C1258">
        <v>1.2178091582678043E-2</v>
      </c>
    </row>
    <row r="1259" spans="1:3" x14ac:dyDescent="0.2">
      <c r="A1259">
        <v>1235</v>
      </c>
      <c r="B1259">
        <v>-7.7979171598782744E-3</v>
      </c>
      <c r="C1259">
        <v>-1.4131907401525323E-2</v>
      </c>
    </row>
    <row r="1260" spans="1:3" x14ac:dyDescent="0.2">
      <c r="A1260">
        <v>1236</v>
      </c>
      <c r="B1260">
        <v>4.2748384911063851E-3</v>
      </c>
      <c r="C1260">
        <v>6.6156163455367888E-3</v>
      </c>
    </row>
    <row r="1261" spans="1:3" x14ac:dyDescent="0.2">
      <c r="A1261">
        <v>1237</v>
      </c>
      <c r="B1261">
        <v>-4.4561005231076867E-3</v>
      </c>
      <c r="C1261">
        <v>1.0159522576339617E-2</v>
      </c>
    </row>
    <row r="1262" spans="1:3" x14ac:dyDescent="0.2">
      <c r="A1262">
        <v>1238</v>
      </c>
      <c r="B1262">
        <v>-4.3776819637474035E-3</v>
      </c>
      <c r="C1262">
        <v>-5.0741138774623379E-3</v>
      </c>
    </row>
    <row r="1263" spans="1:3" x14ac:dyDescent="0.2">
      <c r="A1263">
        <v>1239</v>
      </c>
      <c r="B1263">
        <v>-1.4484114282313627E-2</v>
      </c>
      <c r="C1263">
        <v>-9.6889137075083058E-3</v>
      </c>
    </row>
    <row r="1264" spans="1:3" x14ac:dyDescent="0.2">
      <c r="A1264">
        <v>1240</v>
      </c>
      <c r="B1264">
        <v>1.93234224665518E-2</v>
      </c>
      <c r="C1264">
        <v>7.4040873118054462E-3</v>
      </c>
    </row>
    <row r="1265" spans="1:3" x14ac:dyDescent="0.2">
      <c r="A1265">
        <v>1241</v>
      </c>
      <c r="B1265">
        <v>2.6967109033959175E-2</v>
      </c>
      <c r="C1265">
        <v>1.5572573505723473E-2</v>
      </c>
    </row>
    <row r="1266" spans="1:3" x14ac:dyDescent="0.2">
      <c r="A1266">
        <v>1242</v>
      </c>
      <c r="B1266">
        <v>-3.3630125233215478E-3</v>
      </c>
      <c r="C1266">
        <v>-1.5516402823816226E-2</v>
      </c>
    </row>
    <row r="1267" spans="1:3" x14ac:dyDescent="0.2">
      <c r="A1267">
        <v>1243</v>
      </c>
      <c r="B1267">
        <v>2.9695598247856335E-3</v>
      </c>
      <c r="C1267">
        <v>3.8584972826010478E-3</v>
      </c>
    </row>
    <row r="1268" spans="1:3" x14ac:dyDescent="0.2">
      <c r="A1268">
        <v>1244</v>
      </c>
      <c r="B1268">
        <v>-2.946085973046051E-3</v>
      </c>
      <c r="C1268">
        <v>2.946085973046051E-3</v>
      </c>
    </row>
    <row r="1269" spans="1:3" x14ac:dyDescent="0.2">
      <c r="A1269">
        <v>1245</v>
      </c>
      <c r="B1269">
        <v>-1.1269451067400554E-2</v>
      </c>
      <c r="C1269">
        <v>1.0036405444712541E-2</v>
      </c>
    </row>
    <row r="1270" spans="1:3" x14ac:dyDescent="0.2">
      <c r="A1270">
        <v>1246</v>
      </c>
      <c r="B1270">
        <v>-1.0157720253449236E-2</v>
      </c>
      <c r="C1270">
        <v>1.5157449448072249E-3</v>
      </c>
    </row>
    <row r="1271" spans="1:3" x14ac:dyDescent="0.2">
      <c r="A1271">
        <v>1247</v>
      </c>
      <c r="B1271">
        <v>-3.7548872061905344E-3</v>
      </c>
      <c r="C1271">
        <v>1.1226867280910397E-2</v>
      </c>
    </row>
    <row r="1272" spans="1:3" x14ac:dyDescent="0.2">
      <c r="A1272">
        <v>1248</v>
      </c>
      <c r="B1272">
        <v>-7.4127660281803091E-3</v>
      </c>
      <c r="C1272">
        <v>1.4211282715448506E-2</v>
      </c>
    </row>
    <row r="1273" spans="1:3" x14ac:dyDescent="0.2">
      <c r="A1273">
        <v>1249</v>
      </c>
      <c r="B1273">
        <v>9.1957392610754144E-3</v>
      </c>
      <c r="C1273">
        <v>-3.068131323283721E-2</v>
      </c>
    </row>
    <row r="1274" spans="1:3" x14ac:dyDescent="0.2">
      <c r="A1274">
        <v>1250</v>
      </c>
      <c r="B1274">
        <v>1.5632889644624243E-2</v>
      </c>
      <c r="C1274">
        <v>5.0697452361787715E-3</v>
      </c>
    </row>
    <row r="1275" spans="1:3" x14ac:dyDescent="0.2">
      <c r="A1275">
        <v>1251</v>
      </c>
      <c r="B1275">
        <v>-7.9685721414888833E-3</v>
      </c>
      <c r="C1275">
        <v>7.3539439915197369E-3</v>
      </c>
    </row>
    <row r="1276" spans="1:3" x14ac:dyDescent="0.2">
      <c r="A1276">
        <v>1252</v>
      </c>
      <c r="B1276">
        <v>4.7684861050318068E-3</v>
      </c>
      <c r="C1276">
        <v>5.0716122959522103E-3</v>
      </c>
    </row>
    <row r="1277" spans="1:3" x14ac:dyDescent="0.2">
      <c r="A1277">
        <v>1253</v>
      </c>
      <c r="B1277">
        <v>-1.085818858919693E-2</v>
      </c>
      <c r="C1277">
        <v>1.085818858919693E-2</v>
      </c>
    </row>
    <row r="1278" spans="1:3" x14ac:dyDescent="0.2">
      <c r="A1278">
        <v>1254</v>
      </c>
      <c r="B1278">
        <v>-6.7229729325983352E-3</v>
      </c>
      <c r="C1278">
        <v>-3.8953031939508956E-2</v>
      </c>
    </row>
    <row r="1279" spans="1:3" x14ac:dyDescent="0.2">
      <c r="A1279">
        <v>1255</v>
      </c>
      <c r="B1279">
        <v>9.3240331637018357E-3</v>
      </c>
      <c r="C1279">
        <v>-3.3574192704225181E-2</v>
      </c>
    </row>
    <row r="1280" spans="1:3" x14ac:dyDescent="0.2">
      <c r="A1280">
        <v>1256</v>
      </c>
      <c r="B1280">
        <v>3.4353325791251464E-3</v>
      </c>
      <c r="C1280">
        <v>-6.0514215261492895E-3</v>
      </c>
    </row>
    <row r="1281" spans="1:3" x14ac:dyDescent="0.2">
      <c r="A1281">
        <v>1257</v>
      </c>
      <c r="B1281">
        <v>-8.2672993090700374E-3</v>
      </c>
      <c r="C1281">
        <v>-5.5031924942087074E-3</v>
      </c>
    </row>
    <row r="1282" spans="1:3" x14ac:dyDescent="0.2">
      <c r="A1282">
        <v>1258</v>
      </c>
      <c r="B1282">
        <v>4.5560174993800333E-4</v>
      </c>
      <c r="C1282">
        <v>2.2039727181471644E-3</v>
      </c>
    </row>
    <row r="1283" spans="1:3" x14ac:dyDescent="0.2">
      <c r="A1283">
        <v>1259</v>
      </c>
      <c r="B1283">
        <v>-1.1988488487921556E-2</v>
      </c>
      <c r="C1283">
        <v>4.0309288062239951E-3</v>
      </c>
    </row>
    <row r="1284" spans="1:3" x14ac:dyDescent="0.2">
      <c r="A1284">
        <v>1260</v>
      </c>
      <c r="B1284">
        <v>6.9283925948050691E-3</v>
      </c>
      <c r="C1284">
        <v>-2.9176974076393792E-3</v>
      </c>
    </row>
    <row r="1285" spans="1:3" x14ac:dyDescent="0.2">
      <c r="A1285">
        <v>1261</v>
      </c>
      <c r="B1285">
        <v>-2.4145463421590277E-3</v>
      </c>
      <c r="C1285">
        <v>-4.2432432716891511E-3</v>
      </c>
    </row>
    <row r="1286" spans="1:3" x14ac:dyDescent="0.2">
      <c r="A1286">
        <v>1262</v>
      </c>
      <c r="B1286">
        <v>-4.0704680099869538E-3</v>
      </c>
      <c r="C1286">
        <v>-1.4696288022184586E-2</v>
      </c>
    </row>
    <row r="1287" spans="1:3" x14ac:dyDescent="0.2">
      <c r="A1287">
        <v>1263</v>
      </c>
      <c r="B1287">
        <v>-1.3823146852918724E-3</v>
      </c>
      <c r="C1287">
        <v>-1.5011127937658962E-2</v>
      </c>
    </row>
    <row r="1288" spans="1:3" x14ac:dyDescent="0.2">
      <c r="A1288">
        <v>1264</v>
      </c>
      <c r="B1288">
        <v>3.8349753752642611E-3</v>
      </c>
      <c r="C1288">
        <v>-1.2862753153042094E-2</v>
      </c>
    </row>
    <row r="1289" spans="1:3" x14ac:dyDescent="0.2">
      <c r="A1289">
        <v>1265</v>
      </c>
      <c r="B1289">
        <v>9.7666309085041574E-3</v>
      </c>
      <c r="C1289">
        <v>-3.1490527194418576E-2</v>
      </c>
    </row>
    <row r="1290" spans="1:3" ht="17" thickBot="1" x14ac:dyDescent="0.25">
      <c r="A1290" s="99">
        <v>1266</v>
      </c>
      <c r="B1290" s="99">
        <v>-1.333753660425511E-3</v>
      </c>
      <c r="C1290" s="99">
        <v>2.766418416872472E-3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789F-21C7-B64A-B8C2-05B19331F6A7}">
  <dimension ref="A1:G1268"/>
  <sheetViews>
    <sheetView topLeftCell="A1242" zoomScale="246" workbookViewId="0">
      <selection activeCell="C3" sqref="C3"/>
    </sheetView>
  </sheetViews>
  <sheetFormatPr baseColWidth="10" defaultRowHeight="16" x14ac:dyDescent="0.2"/>
  <sheetData>
    <row r="1" spans="1:7" x14ac:dyDescent="0.2">
      <c r="A1" s="213" t="s">
        <v>1450</v>
      </c>
      <c r="B1" s="213"/>
      <c r="C1" s="213"/>
      <c r="E1" s="213" t="s">
        <v>1451</v>
      </c>
      <c r="F1" s="213"/>
      <c r="G1" s="213"/>
    </row>
    <row r="2" spans="1:7" x14ac:dyDescent="0.2">
      <c r="A2" t="s">
        <v>182</v>
      </c>
      <c r="B2" t="s">
        <v>183</v>
      </c>
      <c r="C2" t="s">
        <v>1453</v>
      </c>
      <c r="E2" t="s">
        <v>182</v>
      </c>
      <c r="F2" t="s">
        <v>183</v>
      </c>
      <c r="G2" t="s">
        <v>1452</v>
      </c>
    </row>
    <row r="3" spans="1:7" x14ac:dyDescent="0.2">
      <c r="A3" t="s">
        <v>184</v>
      </c>
      <c r="B3">
        <v>32.22</v>
      </c>
      <c r="C3" s="105">
        <v>1.8656716417911156E-3</v>
      </c>
      <c r="E3" s="149">
        <v>45590</v>
      </c>
      <c r="F3" s="150">
        <v>8467.2999999999993</v>
      </c>
      <c r="G3">
        <v>-1.2856502559507271E-3</v>
      </c>
    </row>
    <row r="4" spans="1:7" x14ac:dyDescent="0.2">
      <c r="A4" t="s">
        <v>185</v>
      </c>
      <c r="B4">
        <v>32</v>
      </c>
      <c r="C4" s="105">
        <v>-6.8280571073866814E-3</v>
      </c>
      <c r="E4" s="149">
        <v>45589</v>
      </c>
      <c r="F4" s="150">
        <v>8453.9</v>
      </c>
      <c r="G4">
        <v>-1.5825587849727348E-3</v>
      </c>
    </row>
    <row r="5" spans="1:7" x14ac:dyDescent="0.2">
      <c r="A5" t="s">
        <v>186</v>
      </c>
      <c r="B5">
        <v>32.82</v>
      </c>
      <c r="C5" s="105">
        <v>2.5625000000000009E-2</v>
      </c>
      <c r="E5" s="149">
        <v>45588</v>
      </c>
      <c r="F5" s="150">
        <v>8476.2999999999993</v>
      </c>
      <c r="G5">
        <v>2.6496646518174615E-3</v>
      </c>
    </row>
    <row r="6" spans="1:7" x14ac:dyDescent="0.2">
      <c r="A6" t="s">
        <v>187</v>
      </c>
      <c r="B6">
        <v>33.46</v>
      </c>
      <c r="C6" s="105">
        <v>1.9500304692260835E-2</v>
      </c>
      <c r="E6" s="149">
        <v>45587</v>
      </c>
      <c r="F6" s="150">
        <v>8469</v>
      </c>
      <c r="G6">
        <v>-8.6122482687012885E-4</v>
      </c>
    </row>
    <row r="7" spans="1:7" x14ac:dyDescent="0.2">
      <c r="A7" t="s">
        <v>188</v>
      </c>
      <c r="B7">
        <v>34.07</v>
      </c>
      <c r="C7" s="105">
        <v>1.8230723251643738E-2</v>
      </c>
      <c r="E7" s="149">
        <v>45586</v>
      </c>
      <c r="F7" s="150">
        <v>8604.1</v>
      </c>
      <c r="G7">
        <v>1.5952296611170192E-2</v>
      </c>
    </row>
    <row r="8" spans="1:7" x14ac:dyDescent="0.2">
      <c r="A8" t="s">
        <v>189</v>
      </c>
      <c r="B8">
        <v>34.43</v>
      </c>
      <c r="C8" s="105">
        <v>1.056648077487524E-2</v>
      </c>
      <c r="E8" s="149">
        <v>45583</v>
      </c>
      <c r="F8" s="150">
        <v>8551.2000000000007</v>
      </c>
      <c r="G8">
        <v>-6.1482316570006896E-3</v>
      </c>
    </row>
    <row r="9" spans="1:7" x14ac:dyDescent="0.2">
      <c r="A9" t="s">
        <v>190</v>
      </c>
      <c r="B9">
        <v>34.9</v>
      </c>
      <c r="C9" s="105">
        <v>1.3650885855358666E-2</v>
      </c>
      <c r="E9" s="149">
        <v>45582</v>
      </c>
      <c r="F9" s="150">
        <v>8624.1</v>
      </c>
      <c r="G9">
        <v>8.5251192815043071E-3</v>
      </c>
    </row>
    <row r="10" spans="1:7" x14ac:dyDescent="0.2">
      <c r="A10" t="s">
        <v>191</v>
      </c>
      <c r="B10">
        <v>34.85</v>
      </c>
      <c r="C10" s="105">
        <v>-1.43266475644691E-3</v>
      </c>
      <c r="E10" s="149">
        <v>45581</v>
      </c>
      <c r="F10" s="150">
        <v>8556.6</v>
      </c>
      <c r="G10">
        <v>-7.826903676905415E-3</v>
      </c>
    </row>
    <row r="11" spans="1:7" x14ac:dyDescent="0.2">
      <c r="A11" t="s">
        <v>192</v>
      </c>
      <c r="B11">
        <v>36.1</v>
      </c>
      <c r="C11" s="105">
        <v>3.5868005738880916E-2</v>
      </c>
      <c r="E11" s="149">
        <v>45580</v>
      </c>
      <c r="F11" s="150">
        <v>8598.6</v>
      </c>
      <c r="G11">
        <v>4.9084916906247805E-3</v>
      </c>
    </row>
    <row r="12" spans="1:7" x14ac:dyDescent="0.2">
      <c r="A12" t="s">
        <v>193</v>
      </c>
      <c r="B12">
        <v>35.4</v>
      </c>
      <c r="C12" s="105">
        <v>-1.9390581717451602E-2</v>
      </c>
      <c r="E12" s="149">
        <v>45579</v>
      </c>
      <c r="F12" s="150">
        <v>8529.5</v>
      </c>
      <c r="G12">
        <v>-8.0361919382225429E-3</v>
      </c>
    </row>
    <row r="13" spans="1:7" x14ac:dyDescent="0.2">
      <c r="A13" t="s">
        <v>194</v>
      </c>
      <c r="B13">
        <v>35.42</v>
      </c>
      <c r="C13" s="105">
        <v>5.6497175141251776E-4</v>
      </c>
      <c r="E13" s="149">
        <v>45576</v>
      </c>
      <c r="F13" s="150">
        <v>8491.5</v>
      </c>
      <c r="G13">
        <v>-4.4551263262793831E-3</v>
      </c>
    </row>
    <row r="14" spans="1:7" x14ac:dyDescent="0.2">
      <c r="A14" t="s">
        <v>195</v>
      </c>
      <c r="B14">
        <v>35.369999999999997</v>
      </c>
      <c r="C14" s="105">
        <v>-1.4116318464145754E-3</v>
      </c>
      <c r="E14" s="149">
        <v>45575</v>
      </c>
      <c r="F14" s="150">
        <v>8498.7000000000007</v>
      </c>
      <c r="G14">
        <v>8.4790673025975712E-4</v>
      </c>
    </row>
    <row r="15" spans="1:7" x14ac:dyDescent="0.2">
      <c r="A15" t="s">
        <v>196</v>
      </c>
      <c r="B15">
        <v>35.17</v>
      </c>
      <c r="C15" s="105">
        <v>-5.6545094713032441E-3</v>
      </c>
      <c r="E15" s="149">
        <v>45574</v>
      </c>
      <c r="F15" s="150">
        <v>8456.7999999999993</v>
      </c>
      <c r="G15">
        <v>-4.93016579006218E-3</v>
      </c>
    </row>
    <row r="16" spans="1:7" x14ac:dyDescent="0.2">
      <c r="A16" t="s">
        <v>197</v>
      </c>
      <c r="B16">
        <v>34.51</v>
      </c>
      <c r="C16" s="105">
        <v>-1.8765993744668856E-2</v>
      </c>
      <c r="E16" s="149">
        <v>45573</v>
      </c>
      <c r="F16" s="150">
        <v>8443.7000000000007</v>
      </c>
      <c r="G16">
        <v>-1.5490492857816842E-3</v>
      </c>
    </row>
    <row r="17" spans="1:7" x14ac:dyDescent="0.2">
      <c r="A17" t="s">
        <v>198</v>
      </c>
      <c r="B17">
        <v>34.43</v>
      </c>
      <c r="C17" s="105">
        <v>-2.3181686467690032E-3</v>
      </c>
      <c r="E17" s="149">
        <v>45572</v>
      </c>
      <c r="F17" s="150">
        <v>8479</v>
      </c>
      <c r="G17">
        <v>4.1806317135851898E-3</v>
      </c>
    </row>
    <row r="18" spans="1:7" x14ac:dyDescent="0.2">
      <c r="A18" t="s">
        <v>199</v>
      </c>
      <c r="B18">
        <v>34.22</v>
      </c>
      <c r="C18" s="105">
        <v>-6.0993319779262516E-3</v>
      </c>
      <c r="E18" s="149">
        <v>45569</v>
      </c>
      <c r="F18" s="150">
        <v>8416.6</v>
      </c>
      <c r="G18">
        <v>-7.3593584149073757E-3</v>
      </c>
    </row>
    <row r="19" spans="1:7" x14ac:dyDescent="0.2">
      <c r="A19" t="s">
        <v>200</v>
      </c>
      <c r="B19">
        <v>34.950000000000003</v>
      </c>
      <c r="C19" s="105">
        <v>2.1332554061952193E-2</v>
      </c>
      <c r="E19" s="149">
        <v>45568</v>
      </c>
      <c r="F19" s="150">
        <v>8474.2999999999993</v>
      </c>
      <c r="G19">
        <v>6.8554998455432007E-3</v>
      </c>
    </row>
    <row r="20" spans="1:7" x14ac:dyDescent="0.2">
      <c r="A20" t="s">
        <v>201</v>
      </c>
      <c r="B20">
        <v>34.54</v>
      </c>
      <c r="C20" s="105">
        <v>-1.1731044349070205E-2</v>
      </c>
      <c r="E20" s="149">
        <v>45567</v>
      </c>
      <c r="F20" s="150">
        <v>8469.9</v>
      </c>
      <c r="G20">
        <v>-5.1921692647176007E-4</v>
      </c>
    </row>
    <row r="21" spans="1:7" x14ac:dyDescent="0.2">
      <c r="A21" t="s">
        <v>202</v>
      </c>
      <c r="B21">
        <v>34.96</v>
      </c>
      <c r="C21" s="105">
        <v>1.2159814707585459E-2</v>
      </c>
      <c r="E21" s="149">
        <v>45566</v>
      </c>
      <c r="F21" s="150">
        <v>8481.9</v>
      </c>
      <c r="G21">
        <v>1.4167817801863068E-3</v>
      </c>
    </row>
    <row r="22" spans="1:7" x14ac:dyDescent="0.2">
      <c r="A22" t="s">
        <v>203</v>
      </c>
      <c r="B22">
        <v>34.14</v>
      </c>
      <c r="C22" s="105">
        <v>-2.3455377574370717E-2</v>
      </c>
      <c r="E22" s="149">
        <v>45565</v>
      </c>
      <c r="F22" s="150">
        <v>8538.4</v>
      </c>
      <c r="G22">
        <v>6.6612433534939111E-3</v>
      </c>
    </row>
    <row r="23" spans="1:7" x14ac:dyDescent="0.2">
      <c r="A23" t="s">
        <v>204</v>
      </c>
      <c r="B23">
        <v>35.32</v>
      </c>
      <c r="C23" s="105">
        <v>3.4563561804335084E-2</v>
      </c>
      <c r="E23" s="149">
        <v>45562</v>
      </c>
      <c r="F23" s="150">
        <v>8476.7999999999993</v>
      </c>
      <c r="G23">
        <v>-7.2144664105687675E-3</v>
      </c>
    </row>
    <row r="24" spans="1:7" x14ac:dyDescent="0.2">
      <c r="A24" t="s">
        <v>205</v>
      </c>
      <c r="B24">
        <v>35.68</v>
      </c>
      <c r="C24" s="105">
        <v>1.0192525481313688E-2</v>
      </c>
      <c r="E24" s="149">
        <v>45561</v>
      </c>
      <c r="F24" s="150">
        <v>8462.7999999999993</v>
      </c>
      <c r="G24">
        <v>-1.6515666289165724E-3</v>
      </c>
    </row>
    <row r="25" spans="1:7" x14ac:dyDescent="0.2">
      <c r="A25" t="s">
        <v>206</v>
      </c>
      <c r="B25">
        <v>34.69</v>
      </c>
      <c r="C25" s="105">
        <v>-2.7746636771300504E-2</v>
      </c>
      <c r="E25" s="149">
        <v>45560</v>
      </c>
      <c r="F25" s="150">
        <v>8372.7999999999993</v>
      </c>
      <c r="G25">
        <v>-1.0634778087630572E-2</v>
      </c>
    </row>
    <row r="26" spans="1:7" x14ac:dyDescent="0.2">
      <c r="A26" t="s">
        <v>207</v>
      </c>
      <c r="B26">
        <v>35.1</v>
      </c>
      <c r="C26" s="105">
        <v>1.1818968002306248E-2</v>
      </c>
      <c r="E26" s="149">
        <v>45559</v>
      </c>
      <c r="F26" s="150">
        <v>8385.1</v>
      </c>
      <c r="G26">
        <v>1.4690426141793775E-3</v>
      </c>
    </row>
    <row r="27" spans="1:7" x14ac:dyDescent="0.2">
      <c r="A27" t="s">
        <v>208</v>
      </c>
      <c r="B27">
        <v>34.369999999999997</v>
      </c>
      <c r="C27" s="105">
        <v>-2.0797720797720909E-2</v>
      </c>
      <c r="E27" s="149">
        <v>45558</v>
      </c>
      <c r="F27" s="150">
        <v>8384.2000000000007</v>
      </c>
      <c r="G27">
        <v>-1.0733324587657108E-4</v>
      </c>
    </row>
    <row r="28" spans="1:7" x14ac:dyDescent="0.2">
      <c r="A28" t="s">
        <v>209</v>
      </c>
      <c r="B28">
        <v>34.78</v>
      </c>
      <c r="C28" s="105">
        <v>1.1929007855688208E-2</v>
      </c>
      <c r="E28" s="149">
        <v>45555</v>
      </c>
      <c r="F28" s="150">
        <v>8437.2000000000007</v>
      </c>
      <c r="G28">
        <v>6.3214140884043793E-3</v>
      </c>
    </row>
    <row r="29" spans="1:7" x14ac:dyDescent="0.2">
      <c r="A29" t="s">
        <v>210</v>
      </c>
      <c r="B29">
        <v>34.81</v>
      </c>
      <c r="C29" s="105">
        <v>8.6256469235195909E-4</v>
      </c>
      <c r="E29" s="149">
        <v>45554</v>
      </c>
      <c r="F29" s="150">
        <v>8417</v>
      </c>
      <c r="G29">
        <v>-2.3941591997345951E-3</v>
      </c>
    </row>
    <row r="30" spans="1:7" x14ac:dyDescent="0.2">
      <c r="A30" t="s">
        <v>211</v>
      </c>
      <c r="B30">
        <v>33.82</v>
      </c>
      <c r="C30" s="105">
        <v>-2.844010341855794E-2</v>
      </c>
      <c r="E30" s="149">
        <v>45553</v>
      </c>
      <c r="F30" s="150">
        <v>8364.2999999999993</v>
      </c>
      <c r="G30">
        <v>-6.2611381727457199E-3</v>
      </c>
    </row>
    <row r="31" spans="1:7" x14ac:dyDescent="0.2">
      <c r="A31" t="s">
        <v>212</v>
      </c>
      <c r="B31">
        <v>33.85</v>
      </c>
      <c r="C31" s="105">
        <v>8.8704908338264746E-4</v>
      </c>
      <c r="E31" s="149">
        <v>45552</v>
      </c>
      <c r="F31" s="150">
        <v>8361.2000000000007</v>
      </c>
      <c r="G31">
        <v>-3.7062276580210481E-4</v>
      </c>
    </row>
    <row r="32" spans="1:7" x14ac:dyDescent="0.2">
      <c r="A32" t="s">
        <v>213</v>
      </c>
      <c r="B32">
        <v>34.229999999999997</v>
      </c>
      <c r="C32" s="105">
        <v>1.1225997045790116E-2</v>
      </c>
      <c r="E32" s="149">
        <v>45551</v>
      </c>
      <c r="F32" s="150">
        <v>8341.1</v>
      </c>
      <c r="G32">
        <v>-2.4039611539013973E-3</v>
      </c>
    </row>
    <row r="33" spans="1:7" x14ac:dyDescent="0.2">
      <c r="A33" t="s">
        <v>214</v>
      </c>
      <c r="B33">
        <v>34.409999999999997</v>
      </c>
      <c r="C33" s="105">
        <v>5.2585451358457417E-3</v>
      </c>
      <c r="E33" s="149">
        <v>45548</v>
      </c>
      <c r="F33" s="150">
        <v>8323.5</v>
      </c>
      <c r="G33">
        <v>-2.1100334488257382E-3</v>
      </c>
    </row>
    <row r="34" spans="1:7" x14ac:dyDescent="0.2">
      <c r="A34" t="s">
        <v>215</v>
      </c>
      <c r="B34">
        <v>34.799999999999997</v>
      </c>
      <c r="C34" s="105">
        <v>1.1333914559721029E-2</v>
      </c>
      <c r="E34" s="149">
        <v>45547</v>
      </c>
      <c r="F34" s="150">
        <v>8293.1</v>
      </c>
      <c r="G34">
        <v>-3.6523097254760181E-3</v>
      </c>
    </row>
    <row r="35" spans="1:7" x14ac:dyDescent="0.2">
      <c r="A35" t="s">
        <v>216</v>
      </c>
      <c r="B35">
        <v>34.229999999999997</v>
      </c>
      <c r="C35" s="105">
        <v>-1.6379310344827595E-2</v>
      </c>
      <c r="E35" s="149">
        <v>45546</v>
      </c>
      <c r="F35" s="150">
        <v>8195.2000000000007</v>
      </c>
      <c r="G35">
        <v>-1.1804994513511188E-2</v>
      </c>
    </row>
    <row r="36" spans="1:7" x14ac:dyDescent="0.2">
      <c r="A36" t="s">
        <v>217</v>
      </c>
      <c r="B36">
        <v>34.19</v>
      </c>
      <c r="C36" s="105">
        <v>-1.1685655857434751E-3</v>
      </c>
      <c r="E36" s="149">
        <v>45545</v>
      </c>
      <c r="F36" s="150">
        <v>8217</v>
      </c>
      <c r="G36">
        <v>2.6600937133931168E-3</v>
      </c>
    </row>
    <row r="37" spans="1:7" x14ac:dyDescent="0.2">
      <c r="A37" t="s">
        <v>218</v>
      </c>
      <c r="B37">
        <v>33.33</v>
      </c>
      <c r="C37" s="105">
        <v>-2.5153553670663922E-2</v>
      </c>
      <c r="E37" s="149">
        <v>45544</v>
      </c>
      <c r="F37" s="150">
        <v>8191.9</v>
      </c>
      <c r="G37">
        <v>-3.0546428136790024E-3</v>
      </c>
    </row>
    <row r="38" spans="1:7" x14ac:dyDescent="0.2">
      <c r="A38" t="s">
        <v>219</v>
      </c>
      <c r="B38">
        <v>33.72</v>
      </c>
      <c r="C38" s="105">
        <v>1.1701170117011718E-2</v>
      </c>
      <c r="E38" s="149">
        <v>45541</v>
      </c>
      <c r="F38" s="150">
        <v>8214.7999999999993</v>
      </c>
      <c r="G38">
        <v>2.7954442803256431E-3</v>
      </c>
    </row>
    <row r="39" spans="1:7" x14ac:dyDescent="0.2">
      <c r="A39" t="s">
        <v>220</v>
      </c>
      <c r="B39">
        <v>33.76</v>
      </c>
      <c r="C39" s="105">
        <v>1.1862396204032962E-3</v>
      </c>
      <c r="E39" s="149">
        <v>45540</v>
      </c>
      <c r="F39" s="150">
        <v>8187.7</v>
      </c>
      <c r="G39">
        <v>-3.298923893460517E-3</v>
      </c>
    </row>
    <row r="40" spans="1:7" x14ac:dyDescent="0.2">
      <c r="A40" t="s">
        <v>221</v>
      </c>
      <c r="B40">
        <v>33.21</v>
      </c>
      <c r="C40" s="105">
        <v>-1.6291469194312715E-2</v>
      </c>
      <c r="E40" s="149">
        <v>45539</v>
      </c>
      <c r="F40" s="150">
        <v>8157</v>
      </c>
      <c r="G40">
        <v>-3.749526729118045E-3</v>
      </c>
    </row>
    <row r="41" spans="1:7" x14ac:dyDescent="0.2">
      <c r="A41" t="s">
        <v>222</v>
      </c>
      <c r="B41">
        <v>33.880000000000003</v>
      </c>
      <c r="C41" s="105">
        <v>2.0174646190906403E-2</v>
      </c>
      <c r="E41" s="149">
        <v>45538</v>
      </c>
      <c r="F41" s="150">
        <v>8322.7000000000007</v>
      </c>
      <c r="G41">
        <v>2.0313840872870016E-2</v>
      </c>
    </row>
    <row r="42" spans="1:7" x14ac:dyDescent="0.2">
      <c r="A42" t="s">
        <v>223</v>
      </c>
      <c r="B42">
        <v>33.65</v>
      </c>
      <c r="C42" s="105">
        <v>-6.7886658795750874E-3</v>
      </c>
      <c r="E42" s="149">
        <v>45537</v>
      </c>
      <c r="F42" s="150">
        <v>8330.7999999999993</v>
      </c>
      <c r="G42">
        <v>9.7324185660885819E-4</v>
      </c>
    </row>
    <row r="43" spans="1:7" x14ac:dyDescent="0.2">
      <c r="A43" t="s">
        <v>224</v>
      </c>
      <c r="B43">
        <v>33.409999999999997</v>
      </c>
      <c r="C43" s="105">
        <v>-7.1322436849926302E-3</v>
      </c>
      <c r="E43" s="149">
        <v>45534</v>
      </c>
      <c r="F43" s="150">
        <v>8316.7000000000007</v>
      </c>
      <c r="G43">
        <v>-1.6925145244152478E-3</v>
      </c>
    </row>
    <row r="44" spans="1:7" x14ac:dyDescent="0.2">
      <c r="A44" t="s">
        <v>225</v>
      </c>
      <c r="B44">
        <v>33.130000000000003</v>
      </c>
      <c r="C44" s="105">
        <v>-8.3807243340315498E-3</v>
      </c>
      <c r="E44" s="149">
        <v>45533</v>
      </c>
      <c r="F44" s="150">
        <v>8263.6</v>
      </c>
      <c r="G44">
        <v>-6.384743948922092E-3</v>
      </c>
    </row>
    <row r="45" spans="1:7" x14ac:dyDescent="0.2">
      <c r="A45" t="s">
        <v>226</v>
      </c>
      <c r="B45">
        <v>33.07</v>
      </c>
      <c r="C45" s="105">
        <v>-1.8110473890734159E-3</v>
      </c>
      <c r="E45" s="149">
        <v>45532</v>
      </c>
      <c r="F45" s="150">
        <v>8291.2999999999993</v>
      </c>
      <c r="G45">
        <v>3.3520499540150668E-3</v>
      </c>
    </row>
    <row r="46" spans="1:7" x14ac:dyDescent="0.2">
      <c r="A46" t="s">
        <v>227</v>
      </c>
      <c r="B46">
        <v>33.14</v>
      </c>
      <c r="C46" s="105">
        <v>2.1167221046265584E-3</v>
      </c>
      <c r="E46" s="149">
        <v>45531</v>
      </c>
      <c r="F46" s="150">
        <v>8297.1</v>
      </c>
      <c r="G46">
        <v>6.9952842135745808E-4</v>
      </c>
    </row>
    <row r="47" spans="1:7" x14ac:dyDescent="0.2">
      <c r="A47" t="s">
        <v>228</v>
      </c>
      <c r="B47">
        <v>33.630000000000003</v>
      </c>
      <c r="C47" s="105">
        <v>1.4785757392878756E-2</v>
      </c>
      <c r="E47" s="149">
        <v>45530</v>
      </c>
      <c r="F47" s="150">
        <v>8311.5</v>
      </c>
      <c r="G47">
        <v>1.735546154680507E-3</v>
      </c>
    </row>
    <row r="48" spans="1:7" x14ac:dyDescent="0.2">
      <c r="A48" t="s">
        <v>229</v>
      </c>
      <c r="B48">
        <v>33</v>
      </c>
      <c r="C48" s="105">
        <v>-1.8733273862622732E-2</v>
      </c>
      <c r="E48" s="149">
        <v>45527</v>
      </c>
      <c r="F48" s="150">
        <v>8249.1</v>
      </c>
      <c r="G48">
        <v>-7.5076700956505605E-3</v>
      </c>
    </row>
    <row r="49" spans="1:7" x14ac:dyDescent="0.2">
      <c r="A49" t="s">
        <v>230</v>
      </c>
      <c r="B49">
        <v>31.42</v>
      </c>
      <c r="C49" s="105">
        <v>-4.7878787878787826E-2</v>
      </c>
      <c r="E49" s="149">
        <v>45526</v>
      </c>
      <c r="F49" s="150">
        <v>8258.1</v>
      </c>
      <c r="G49">
        <v>1.0910281121576898E-3</v>
      </c>
    </row>
    <row r="50" spans="1:7" x14ac:dyDescent="0.2">
      <c r="A50" t="s">
        <v>231</v>
      </c>
      <c r="B50">
        <v>30.86</v>
      </c>
      <c r="C50" s="105">
        <v>-1.7823042647994978E-2</v>
      </c>
      <c r="E50" s="149">
        <v>45525</v>
      </c>
      <c r="F50" s="150">
        <v>8234</v>
      </c>
      <c r="G50">
        <v>-2.9183468352284862E-3</v>
      </c>
    </row>
    <row r="51" spans="1:7" x14ac:dyDescent="0.2">
      <c r="A51" t="s">
        <v>232</v>
      </c>
      <c r="B51">
        <v>29.48</v>
      </c>
      <c r="C51" s="105">
        <v>-4.471808165910561E-2</v>
      </c>
      <c r="E51" s="149">
        <v>45524</v>
      </c>
      <c r="F51" s="150">
        <v>8207.6</v>
      </c>
      <c r="G51">
        <v>-3.2062181199902398E-3</v>
      </c>
    </row>
    <row r="52" spans="1:7" x14ac:dyDescent="0.2">
      <c r="A52" t="s">
        <v>233</v>
      </c>
      <c r="B52">
        <v>29.01</v>
      </c>
      <c r="C52" s="105">
        <v>-1.594301221166889E-2</v>
      </c>
      <c r="E52" s="149">
        <v>45523</v>
      </c>
      <c r="F52" s="150">
        <v>8194.7999999999993</v>
      </c>
      <c r="G52">
        <v>-1.5595301915299347E-3</v>
      </c>
    </row>
    <row r="53" spans="1:7" x14ac:dyDescent="0.2">
      <c r="A53" t="s">
        <v>234</v>
      </c>
      <c r="B53">
        <v>29.45</v>
      </c>
      <c r="C53" s="105">
        <v>1.5167183729748283E-2</v>
      </c>
      <c r="E53" s="149">
        <v>45520</v>
      </c>
      <c r="F53" s="150">
        <v>8189.9</v>
      </c>
      <c r="G53">
        <v>-5.9794015717279695E-4</v>
      </c>
    </row>
    <row r="54" spans="1:7" x14ac:dyDescent="0.2">
      <c r="A54" t="s">
        <v>235</v>
      </c>
      <c r="B54">
        <v>29.12</v>
      </c>
      <c r="C54" s="105">
        <v>-1.1205432937181606E-2</v>
      </c>
      <c r="E54" s="149">
        <v>45519</v>
      </c>
      <c r="F54" s="150">
        <v>8083.8</v>
      </c>
      <c r="G54">
        <v>-1.2954981135300732E-2</v>
      </c>
    </row>
    <row r="55" spans="1:7" x14ac:dyDescent="0.2">
      <c r="A55" t="s">
        <v>236</v>
      </c>
      <c r="B55">
        <v>28.85</v>
      </c>
      <c r="C55" s="105">
        <v>-9.2719780219780064E-3</v>
      </c>
      <c r="E55" s="149">
        <v>45518</v>
      </c>
      <c r="F55" s="150">
        <v>8070.2</v>
      </c>
      <c r="G55">
        <v>-1.6823770998788149E-3</v>
      </c>
    </row>
    <row r="56" spans="1:7" x14ac:dyDescent="0.2">
      <c r="A56" t="s">
        <v>237</v>
      </c>
      <c r="B56">
        <v>28.31</v>
      </c>
      <c r="C56" s="105">
        <v>-1.8717504332755725E-2</v>
      </c>
      <c r="E56" s="149">
        <v>45517</v>
      </c>
      <c r="F56" s="150">
        <v>8042.2</v>
      </c>
      <c r="G56">
        <v>-3.4695546578771283E-3</v>
      </c>
    </row>
    <row r="57" spans="1:7" x14ac:dyDescent="0.2">
      <c r="A57" t="s">
        <v>238</v>
      </c>
      <c r="B57">
        <v>28.49</v>
      </c>
      <c r="C57" s="105">
        <v>6.3581773225008737E-3</v>
      </c>
      <c r="E57" s="149">
        <v>45516</v>
      </c>
      <c r="F57" s="150">
        <v>8028.5</v>
      </c>
      <c r="G57">
        <v>-1.7035139638407176E-3</v>
      </c>
    </row>
    <row r="58" spans="1:7" x14ac:dyDescent="0.2">
      <c r="A58" t="s">
        <v>239</v>
      </c>
      <c r="B58">
        <v>27.84</v>
      </c>
      <c r="C58" s="105">
        <v>-2.2815022815022765E-2</v>
      </c>
      <c r="E58" s="149">
        <v>45513</v>
      </c>
      <c r="F58" s="150">
        <v>7990.7</v>
      </c>
      <c r="G58">
        <v>-4.7082269415208546E-3</v>
      </c>
    </row>
    <row r="59" spans="1:7" x14ac:dyDescent="0.2">
      <c r="A59" t="s">
        <v>240</v>
      </c>
      <c r="B59">
        <v>27.39</v>
      </c>
      <c r="C59" s="105">
        <v>-1.6163793103448249E-2</v>
      </c>
      <c r="E59" s="149">
        <v>45512</v>
      </c>
      <c r="F59" s="150">
        <v>7886.5</v>
      </c>
      <c r="G59">
        <v>-1.3040159185052601E-2</v>
      </c>
    </row>
    <row r="60" spans="1:7" x14ac:dyDescent="0.2">
      <c r="A60" t="s">
        <v>241</v>
      </c>
      <c r="B60">
        <v>27.89</v>
      </c>
      <c r="C60" s="105">
        <v>1.8254837531945966E-2</v>
      </c>
      <c r="E60" s="149">
        <v>45511</v>
      </c>
      <c r="F60" s="150">
        <v>7913.1</v>
      </c>
      <c r="G60">
        <v>3.3728523426108368E-3</v>
      </c>
    </row>
    <row r="61" spans="1:7" x14ac:dyDescent="0.2">
      <c r="A61" t="s">
        <v>242</v>
      </c>
      <c r="B61">
        <v>27.99</v>
      </c>
      <c r="C61" s="105">
        <v>3.585514521333735E-3</v>
      </c>
      <c r="E61" s="149">
        <v>45510</v>
      </c>
      <c r="F61" s="150">
        <v>7890.1</v>
      </c>
      <c r="G61">
        <v>-2.9065726453602254E-3</v>
      </c>
    </row>
    <row r="62" spans="1:7" x14ac:dyDescent="0.2">
      <c r="A62" t="s">
        <v>243</v>
      </c>
      <c r="B62">
        <v>27.62</v>
      </c>
      <c r="C62" s="105">
        <v>-1.321900678813853E-2</v>
      </c>
      <c r="E62" s="149">
        <v>45509</v>
      </c>
      <c r="F62" s="150">
        <v>7859.4</v>
      </c>
      <c r="G62">
        <v>-3.890951952446829E-3</v>
      </c>
    </row>
    <row r="63" spans="1:7" x14ac:dyDescent="0.2">
      <c r="A63" t="s">
        <v>244</v>
      </c>
      <c r="B63">
        <v>28.87</v>
      </c>
      <c r="C63" s="105">
        <v>4.5257060101375812E-2</v>
      </c>
      <c r="E63" s="149">
        <v>45506</v>
      </c>
      <c r="F63" s="150">
        <v>8170.4</v>
      </c>
      <c r="G63">
        <v>3.9570450670534649E-2</v>
      </c>
    </row>
    <row r="64" spans="1:7" x14ac:dyDescent="0.2">
      <c r="A64" t="s">
        <v>245</v>
      </c>
      <c r="B64">
        <v>29.77</v>
      </c>
      <c r="C64" s="105">
        <v>3.1174229303775496E-2</v>
      </c>
      <c r="E64" s="149">
        <v>45505</v>
      </c>
      <c r="F64" s="150">
        <v>8343.7999999999993</v>
      </c>
      <c r="G64">
        <v>2.1222951140702981E-2</v>
      </c>
    </row>
    <row r="65" spans="1:7" x14ac:dyDescent="0.2">
      <c r="A65" t="s">
        <v>246</v>
      </c>
      <c r="B65">
        <v>29.18</v>
      </c>
      <c r="C65" s="105">
        <v>-1.981860933825999E-2</v>
      </c>
      <c r="E65" s="149">
        <v>45504</v>
      </c>
      <c r="F65" s="150">
        <v>8320.4</v>
      </c>
      <c r="G65">
        <v>-2.8044775761642943E-3</v>
      </c>
    </row>
    <row r="66" spans="1:7" x14ac:dyDescent="0.2">
      <c r="A66" t="s">
        <v>247</v>
      </c>
      <c r="B66">
        <v>28.88</v>
      </c>
      <c r="C66" s="105">
        <v>-1.0281014393420175E-2</v>
      </c>
      <c r="E66" s="149">
        <v>45503</v>
      </c>
      <c r="F66" s="150">
        <v>8176.6</v>
      </c>
      <c r="G66">
        <v>-1.7282822941204663E-2</v>
      </c>
    </row>
    <row r="67" spans="1:7" x14ac:dyDescent="0.2">
      <c r="A67" t="s">
        <v>248</v>
      </c>
      <c r="B67">
        <v>28.04</v>
      </c>
      <c r="C67" s="105">
        <v>-2.9085872576177282E-2</v>
      </c>
      <c r="E67" s="149">
        <v>45502</v>
      </c>
      <c r="F67" s="150">
        <v>8224.2999999999993</v>
      </c>
      <c r="G67">
        <v>5.8337206173713898E-3</v>
      </c>
    </row>
    <row r="68" spans="1:7" x14ac:dyDescent="0.2">
      <c r="A68" t="s">
        <v>249</v>
      </c>
      <c r="B68">
        <v>27.49</v>
      </c>
      <c r="C68" s="105">
        <v>-1.961483594864482E-2</v>
      </c>
      <c r="E68" s="149">
        <v>45499</v>
      </c>
      <c r="F68" s="150">
        <v>8153.4</v>
      </c>
      <c r="G68">
        <v>-8.6207944749096752E-3</v>
      </c>
    </row>
    <row r="69" spans="1:7" x14ac:dyDescent="0.2">
      <c r="A69" t="s">
        <v>250</v>
      </c>
      <c r="B69">
        <v>27.37</v>
      </c>
      <c r="C69" s="105">
        <v>-4.3652237177154397E-3</v>
      </c>
      <c r="E69" s="149">
        <v>45498</v>
      </c>
      <c r="F69" s="150">
        <v>8094.3</v>
      </c>
      <c r="G69">
        <v>-7.2485098241223851E-3</v>
      </c>
    </row>
    <row r="70" spans="1:7" x14ac:dyDescent="0.2">
      <c r="A70" t="s">
        <v>251</v>
      </c>
      <c r="B70">
        <v>27.34</v>
      </c>
      <c r="C70" s="105">
        <v>-1.0960906101571478E-3</v>
      </c>
      <c r="E70" s="149">
        <v>45497</v>
      </c>
      <c r="F70" s="150">
        <v>8205.5</v>
      </c>
      <c r="G70">
        <v>1.3738062587252735E-2</v>
      </c>
    </row>
    <row r="71" spans="1:7" x14ac:dyDescent="0.2">
      <c r="A71" t="s">
        <v>252</v>
      </c>
      <c r="B71">
        <v>27.17</v>
      </c>
      <c r="C71" s="105">
        <v>-6.2179956108265599E-3</v>
      </c>
      <c r="E71" s="149">
        <v>45496</v>
      </c>
      <c r="F71" s="150">
        <v>8208.6</v>
      </c>
      <c r="G71">
        <v>3.7779538114683609E-4</v>
      </c>
    </row>
    <row r="72" spans="1:7" x14ac:dyDescent="0.2">
      <c r="A72" t="s">
        <v>253</v>
      </c>
      <c r="B72">
        <v>27.03</v>
      </c>
      <c r="C72" s="105">
        <v>-5.152741994847279E-3</v>
      </c>
      <c r="E72" s="149">
        <v>45495</v>
      </c>
      <c r="F72" s="150">
        <v>8166.4</v>
      </c>
      <c r="G72">
        <v>-5.1409497356431945E-3</v>
      </c>
    </row>
    <row r="73" spans="1:7" x14ac:dyDescent="0.2">
      <c r="A73" t="s">
        <v>254</v>
      </c>
      <c r="B73">
        <v>26.59</v>
      </c>
      <c r="C73" s="105">
        <v>-1.6278209396966382E-2</v>
      </c>
      <c r="E73" s="149">
        <v>45492</v>
      </c>
      <c r="F73" s="150">
        <v>8209.2000000000007</v>
      </c>
      <c r="G73">
        <v>5.2409874608151811E-3</v>
      </c>
    </row>
    <row r="74" spans="1:7" x14ac:dyDescent="0.2">
      <c r="A74" t="s">
        <v>255</v>
      </c>
      <c r="B74">
        <v>27.11</v>
      </c>
      <c r="C74" s="105">
        <v>1.9556224144415178E-2</v>
      </c>
      <c r="E74" s="149">
        <v>45491</v>
      </c>
      <c r="F74" s="150">
        <v>8272.7000000000007</v>
      </c>
      <c r="G74">
        <v>7.7352238951420354E-3</v>
      </c>
    </row>
    <row r="75" spans="1:7" x14ac:dyDescent="0.2">
      <c r="A75" t="s">
        <v>256</v>
      </c>
      <c r="B75">
        <v>27.44</v>
      </c>
      <c r="C75" s="105">
        <v>1.2172630025820799E-2</v>
      </c>
      <c r="E75" s="149">
        <v>45490</v>
      </c>
      <c r="F75" s="150">
        <v>8303.5</v>
      </c>
      <c r="G75">
        <v>3.7230891969972646E-3</v>
      </c>
    </row>
    <row r="76" spans="1:7" x14ac:dyDescent="0.2">
      <c r="A76" t="s">
        <v>257</v>
      </c>
      <c r="B76">
        <v>26.76</v>
      </c>
      <c r="C76" s="105">
        <v>-2.478134110787171E-2</v>
      </c>
      <c r="E76" s="149">
        <v>45489</v>
      </c>
      <c r="F76" s="150">
        <v>8243.2999999999993</v>
      </c>
      <c r="G76">
        <v>-7.2499548383212773E-3</v>
      </c>
    </row>
    <row r="77" spans="1:7" x14ac:dyDescent="0.2">
      <c r="A77" t="s">
        <v>258</v>
      </c>
      <c r="B77">
        <v>27.28</v>
      </c>
      <c r="C77" s="105">
        <v>1.9431988041853497E-2</v>
      </c>
      <c r="E77" s="149">
        <v>45488</v>
      </c>
      <c r="F77" s="150">
        <v>8262.4</v>
      </c>
      <c r="G77">
        <v>2.3170332269843831E-3</v>
      </c>
    </row>
    <row r="78" spans="1:7" x14ac:dyDescent="0.2">
      <c r="A78" t="s">
        <v>259</v>
      </c>
      <c r="B78">
        <v>27.07</v>
      </c>
      <c r="C78" s="105">
        <v>-7.6979472140762777E-3</v>
      </c>
      <c r="E78" s="149">
        <v>45485</v>
      </c>
      <c r="F78" s="150">
        <v>8206.1</v>
      </c>
      <c r="G78">
        <v>-6.8140007745932504E-3</v>
      </c>
    </row>
    <row r="79" spans="1:7" x14ac:dyDescent="0.2">
      <c r="A79" t="s">
        <v>260</v>
      </c>
      <c r="B79">
        <v>27.11</v>
      </c>
      <c r="C79" s="105">
        <v>1.4776505356482877E-3</v>
      </c>
      <c r="E79" s="149">
        <v>45484</v>
      </c>
      <c r="F79" s="150">
        <v>8133.4</v>
      </c>
      <c r="G79">
        <v>-8.859263231011166E-3</v>
      </c>
    </row>
    <row r="80" spans="1:7" x14ac:dyDescent="0.2">
      <c r="A80" t="s">
        <v>261</v>
      </c>
      <c r="B80">
        <v>26.64</v>
      </c>
      <c r="C80" s="105">
        <v>-1.7336776097380997E-2</v>
      </c>
      <c r="E80" s="149">
        <v>45483</v>
      </c>
      <c r="F80" s="150">
        <v>8058.3</v>
      </c>
      <c r="G80">
        <v>-9.2335308726976973E-3</v>
      </c>
    </row>
    <row r="81" spans="1:7" x14ac:dyDescent="0.2">
      <c r="A81" t="s">
        <v>262</v>
      </c>
      <c r="B81">
        <v>26.87</v>
      </c>
      <c r="C81" s="105">
        <v>8.633633633633649E-3</v>
      </c>
      <c r="E81" s="149">
        <v>45482</v>
      </c>
      <c r="F81" s="150">
        <v>8075.2</v>
      </c>
      <c r="G81">
        <v>2.0972165345047511E-3</v>
      </c>
    </row>
    <row r="82" spans="1:7" x14ac:dyDescent="0.2">
      <c r="A82" t="s">
        <v>263</v>
      </c>
      <c r="B82">
        <v>26.91</v>
      </c>
      <c r="C82" s="105">
        <v>1.4886490509861982E-3</v>
      </c>
      <c r="E82" s="149">
        <v>45481</v>
      </c>
      <c r="F82" s="150">
        <v>8012.2</v>
      </c>
      <c r="G82">
        <v>-7.8016643550624133E-3</v>
      </c>
    </row>
    <row r="83" spans="1:7" x14ac:dyDescent="0.2">
      <c r="A83" t="s">
        <v>264</v>
      </c>
      <c r="B83">
        <v>26.8</v>
      </c>
      <c r="C83" s="105">
        <v>-4.0876997398736322E-3</v>
      </c>
      <c r="E83" s="149">
        <v>45478</v>
      </c>
      <c r="F83" s="150">
        <v>8070.1</v>
      </c>
      <c r="G83">
        <v>7.226479618581731E-3</v>
      </c>
    </row>
    <row r="84" spans="1:7" x14ac:dyDescent="0.2">
      <c r="A84" t="s">
        <v>265</v>
      </c>
      <c r="B84">
        <v>27.05</v>
      </c>
      <c r="C84" s="105">
        <v>9.3283582089552231E-3</v>
      </c>
      <c r="E84" s="149">
        <v>45477</v>
      </c>
      <c r="F84" s="150">
        <v>8079.2</v>
      </c>
      <c r="G84">
        <v>1.1276192364406208E-3</v>
      </c>
    </row>
    <row r="85" spans="1:7" x14ac:dyDescent="0.2">
      <c r="A85" t="s">
        <v>266</v>
      </c>
      <c r="B85">
        <v>26.84</v>
      </c>
      <c r="C85" s="105">
        <v>-7.7634011090573322E-3</v>
      </c>
      <c r="E85" s="149">
        <v>45476</v>
      </c>
      <c r="F85" s="150">
        <v>7986.1</v>
      </c>
      <c r="G85">
        <v>-1.1523418160213815E-2</v>
      </c>
    </row>
    <row r="86" spans="1:7" x14ac:dyDescent="0.2">
      <c r="A86" t="s">
        <v>267</v>
      </c>
      <c r="B86">
        <v>26.76</v>
      </c>
      <c r="C86" s="105">
        <v>-2.9806259314455403E-3</v>
      </c>
      <c r="E86" s="149">
        <v>45475</v>
      </c>
      <c r="F86" s="150">
        <v>7959.7</v>
      </c>
      <c r="G86">
        <v>-3.3057437297304747E-3</v>
      </c>
    </row>
    <row r="87" spans="1:7" x14ac:dyDescent="0.2">
      <c r="A87" t="s">
        <v>268</v>
      </c>
      <c r="B87">
        <v>26.55</v>
      </c>
      <c r="C87" s="105">
        <v>-7.8475336322870268E-3</v>
      </c>
      <c r="E87" s="149">
        <v>45474</v>
      </c>
      <c r="F87" s="150">
        <v>7992.3</v>
      </c>
      <c r="G87">
        <v>4.0956317449150547E-3</v>
      </c>
    </row>
    <row r="88" spans="1:7" x14ac:dyDescent="0.2">
      <c r="A88" t="s">
        <v>269</v>
      </c>
      <c r="B88">
        <v>27.01</v>
      </c>
      <c r="C88" s="105">
        <v>1.7325800376647865E-2</v>
      </c>
      <c r="E88" s="149">
        <v>45471</v>
      </c>
      <c r="F88" s="150">
        <v>8013.8</v>
      </c>
      <c r="G88">
        <v>2.690089210865458E-3</v>
      </c>
    </row>
    <row r="89" spans="1:7" x14ac:dyDescent="0.2">
      <c r="A89" t="s">
        <v>270</v>
      </c>
      <c r="B89">
        <v>27.24</v>
      </c>
      <c r="C89" s="105">
        <v>8.5153646797481251E-3</v>
      </c>
      <c r="E89" s="149">
        <v>45470</v>
      </c>
      <c r="F89" s="150">
        <v>8002.8</v>
      </c>
      <c r="G89">
        <v>-1.3726322094387183E-3</v>
      </c>
    </row>
    <row r="90" spans="1:7" x14ac:dyDescent="0.2">
      <c r="A90" t="s">
        <v>271</v>
      </c>
      <c r="B90">
        <v>27.19</v>
      </c>
      <c r="C90" s="105">
        <v>-1.8355359765050354E-3</v>
      </c>
      <c r="E90" s="149">
        <v>45469</v>
      </c>
      <c r="F90" s="150">
        <v>8022.9</v>
      </c>
      <c r="G90">
        <v>2.5116209326734962E-3</v>
      </c>
    </row>
    <row r="91" spans="1:7" x14ac:dyDescent="0.2">
      <c r="A91" t="s">
        <v>272</v>
      </c>
      <c r="B91">
        <v>27.83</v>
      </c>
      <c r="C91" s="105">
        <v>2.3538065465244465E-2</v>
      </c>
      <c r="E91" s="149">
        <v>45468</v>
      </c>
      <c r="F91" s="150">
        <v>8076.9</v>
      </c>
      <c r="G91">
        <v>6.7307332759974576E-3</v>
      </c>
    </row>
    <row r="92" spans="1:7" x14ac:dyDescent="0.2">
      <c r="A92" t="s">
        <v>273</v>
      </c>
      <c r="B92">
        <v>27.8</v>
      </c>
      <c r="C92" s="105">
        <v>-1.0779734099891334E-3</v>
      </c>
      <c r="E92" s="149">
        <v>45467</v>
      </c>
      <c r="F92" s="150">
        <v>7975.1</v>
      </c>
      <c r="G92">
        <v>-1.2603845534796676E-2</v>
      </c>
    </row>
    <row r="93" spans="1:7" x14ac:dyDescent="0.2">
      <c r="A93" t="s">
        <v>274</v>
      </c>
      <c r="B93">
        <v>28.44</v>
      </c>
      <c r="C93" s="105">
        <v>2.3021582733812971E-2</v>
      </c>
      <c r="E93" s="149">
        <v>45464</v>
      </c>
      <c r="F93" s="150">
        <v>8039.9</v>
      </c>
      <c r="G93">
        <v>8.125289965016021E-3</v>
      </c>
    </row>
    <row r="94" spans="1:7" x14ac:dyDescent="0.2">
      <c r="A94" t="s">
        <v>275</v>
      </c>
      <c r="B94">
        <v>28.61</v>
      </c>
      <c r="C94" s="105">
        <v>5.9774964838255323E-3</v>
      </c>
      <c r="E94" s="149">
        <v>45463</v>
      </c>
      <c r="F94" s="150">
        <v>8012.1</v>
      </c>
      <c r="G94">
        <v>-3.4577544496821196E-3</v>
      </c>
    </row>
    <row r="95" spans="1:7" x14ac:dyDescent="0.2">
      <c r="A95" t="s">
        <v>276</v>
      </c>
      <c r="B95">
        <v>28.22</v>
      </c>
      <c r="C95" s="105">
        <v>-1.3631597343586179E-2</v>
      </c>
      <c r="E95" s="149">
        <v>45462</v>
      </c>
      <c r="F95" s="150">
        <v>8010.5</v>
      </c>
      <c r="G95">
        <v>-1.9969795684032448E-4</v>
      </c>
    </row>
    <row r="96" spans="1:7" x14ac:dyDescent="0.2">
      <c r="A96" t="s">
        <v>277</v>
      </c>
      <c r="B96">
        <v>28.25</v>
      </c>
      <c r="C96" s="105">
        <v>1.0630758327427759E-3</v>
      </c>
      <c r="E96" s="149">
        <v>45461</v>
      </c>
      <c r="F96" s="150">
        <v>8015.8</v>
      </c>
      <c r="G96">
        <v>6.6163160851384834E-4</v>
      </c>
    </row>
    <row r="97" spans="1:7" x14ac:dyDescent="0.2">
      <c r="A97" t="s">
        <v>278</v>
      </c>
      <c r="B97">
        <v>27.95</v>
      </c>
      <c r="C97" s="105">
        <v>-1.0619469026548698E-2</v>
      </c>
      <c r="E97" s="149">
        <v>45460</v>
      </c>
      <c r="F97" s="150">
        <v>7943.6</v>
      </c>
      <c r="G97">
        <v>-9.0072107587514435E-3</v>
      </c>
    </row>
    <row r="98" spans="1:7" x14ac:dyDescent="0.2">
      <c r="A98" t="s">
        <v>279</v>
      </c>
      <c r="B98">
        <v>27.73</v>
      </c>
      <c r="C98" s="105">
        <v>-7.8711985688729464E-3</v>
      </c>
      <c r="E98" s="149">
        <v>45457</v>
      </c>
      <c r="F98" s="150">
        <v>7974.8</v>
      </c>
      <c r="G98">
        <v>3.9276902160229384E-3</v>
      </c>
    </row>
    <row r="99" spans="1:7" x14ac:dyDescent="0.2">
      <c r="A99" t="s">
        <v>280</v>
      </c>
      <c r="B99">
        <v>27.9</v>
      </c>
      <c r="C99" s="105">
        <v>6.1305445366028905E-3</v>
      </c>
      <c r="E99" s="149">
        <v>45456</v>
      </c>
      <c r="F99" s="150">
        <v>8002.5</v>
      </c>
      <c r="G99">
        <v>3.4734413402216753E-3</v>
      </c>
    </row>
    <row r="100" spans="1:7" x14ac:dyDescent="0.2">
      <c r="A100" t="s">
        <v>281</v>
      </c>
      <c r="B100">
        <v>27.09</v>
      </c>
      <c r="C100" s="105">
        <v>-2.9032258064516085E-2</v>
      </c>
      <c r="E100" s="149">
        <v>45455</v>
      </c>
      <c r="F100" s="150">
        <v>7963.1</v>
      </c>
      <c r="G100">
        <v>-4.9234614183067335E-3</v>
      </c>
    </row>
    <row r="101" spans="1:7" x14ac:dyDescent="0.2">
      <c r="A101" t="s">
        <v>282</v>
      </c>
      <c r="B101">
        <v>27.26</v>
      </c>
      <c r="C101" s="105">
        <v>6.2753783684016875E-3</v>
      </c>
      <c r="E101" s="149">
        <v>45454</v>
      </c>
      <c r="F101" s="150">
        <v>8005.9</v>
      </c>
      <c r="G101">
        <v>5.3747912245230211E-3</v>
      </c>
    </row>
    <row r="102" spans="1:7" x14ac:dyDescent="0.2">
      <c r="A102" t="s">
        <v>283</v>
      </c>
      <c r="B102">
        <v>27.02</v>
      </c>
      <c r="C102" s="105">
        <v>-8.8041085840059423E-3</v>
      </c>
      <c r="E102" s="149">
        <v>45450</v>
      </c>
      <c r="F102" s="150">
        <v>8112.8</v>
      </c>
      <c r="G102">
        <v>1.3352652418841173E-2</v>
      </c>
    </row>
    <row r="103" spans="1:7" x14ac:dyDescent="0.2">
      <c r="A103" t="s">
        <v>284</v>
      </c>
      <c r="B103">
        <v>26.9</v>
      </c>
      <c r="C103" s="105">
        <v>-4.4411547002220948E-3</v>
      </c>
      <c r="E103" s="149">
        <v>45449</v>
      </c>
      <c r="F103" s="150">
        <v>8074.3</v>
      </c>
      <c r="G103">
        <v>-4.7455872201952465E-3</v>
      </c>
    </row>
    <row r="104" spans="1:7" x14ac:dyDescent="0.2">
      <c r="A104" t="s">
        <v>285</v>
      </c>
      <c r="B104">
        <v>26.65</v>
      </c>
      <c r="C104" s="105">
        <v>-9.2936802973977699E-3</v>
      </c>
      <c r="E104" s="149">
        <v>45448</v>
      </c>
      <c r="F104" s="150">
        <v>8022.2</v>
      </c>
      <c r="G104">
        <v>-6.4525717399651194E-3</v>
      </c>
    </row>
    <row r="105" spans="1:7" x14ac:dyDescent="0.2">
      <c r="A105" t="s">
        <v>286</v>
      </c>
      <c r="B105">
        <v>26.04</v>
      </c>
      <c r="C105" s="105">
        <v>-2.2889305816135064E-2</v>
      </c>
      <c r="E105" s="149">
        <v>45447</v>
      </c>
      <c r="F105" s="150">
        <v>7994.1</v>
      </c>
      <c r="G105">
        <v>-3.5027797860935224E-3</v>
      </c>
    </row>
    <row r="106" spans="1:7" x14ac:dyDescent="0.2">
      <c r="A106" t="s">
        <v>287</v>
      </c>
      <c r="B106">
        <v>26.56</v>
      </c>
      <c r="C106" s="105">
        <v>1.9969278033794148E-2</v>
      </c>
      <c r="E106" s="149">
        <v>45446</v>
      </c>
      <c r="F106" s="150">
        <v>8024.1</v>
      </c>
      <c r="G106">
        <v>3.7527676661537881E-3</v>
      </c>
    </row>
    <row r="107" spans="1:7" x14ac:dyDescent="0.2">
      <c r="A107" t="s">
        <v>288</v>
      </c>
      <c r="B107">
        <v>26.52</v>
      </c>
      <c r="C107" s="105">
        <v>-1.5060240963855102E-3</v>
      </c>
      <c r="E107" s="149">
        <v>45443</v>
      </c>
      <c r="F107" s="150">
        <v>7970.8</v>
      </c>
      <c r="G107">
        <v>-6.6424895003801276E-3</v>
      </c>
    </row>
    <row r="108" spans="1:7" x14ac:dyDescent="0.2">
      <c r="A108" t="s">
        <v>289</v>
      </c>
      <c r="B108">
        <v>26.42</v>
      </c>
      <c r="C108" s="105">
        <v>-3.7707390648566317E-3</v>
      </c>
      <c r="E108" s="149">
        <v>45442</v>
      </c>
      <c r="F108" s="150">
        <v>7895.9</v>
      </c>
      <c r="G108">
        <v>-9.3967983138456036E-3</v>
      </c>
    </row>
    <row r="109" spans="1:7" x14ac:dyDescent="0.2">
      <c r="A109" t="s">
        <v>290</v>
      </c>
      <c r="B109">
        <v>26.29</v>
      </c>
      <c r="C109" s="105">
        <v>-4.9205147615443813E-3</v>
      </c>
      <c r="E109" s="149">
        <v>45441</v>
      </c>
      <c r="F109" s="150">
        <v>7935.7</v>
      </c>
      <c r="G109">
        <v>5.0405906863055742E-3</v>
      </c>
    </row>
    <row r="110" spans="1:7" x14ac:dyDescent="0.2">
      <c r="A110" t="s">
        <v>291</v>
      </c>
      <c r="B110">
        <v>26.32</v>
      </c>
      <c r="C110" s="105">
        <v>1.1411182959300548E-3</v>
      </c>
      <c r="E110" s="149">
        <v>45440</v>
      </c>
      <c r="F110" s="150">
        <v>8034.9</v>
      </c>
      <c r="G110">
        <v>1.2500472548105374E-2</v>
      </c>
    </row>
    <row r="111" spans="1:7" x14ac:dyDescent="0.2">
      <c r="A111" t="s">
        <v>292</v>
      </c>
      <c r="B111">
        <v>26.57</v>
      </c>
      <c r="C111" s="105">
        <v>9.4984802431610938E-3</v>
      </c>
      <c r="E111" s="149">
        <v>45439</v>
      </c>
      <c r="F111" s="150">
        <v>8058.6</v>
      </c>
      <c r="G111">
        <v>2.9496322293993365E-3</v>
      </c>
    </row>
    <row r="112" spans="1:7" x14ac:dyDescent="0.2">
      <c r="A112" t="s">
        <v>293</v>
      </c>
      <c r="B112">
        <v>26.19</v>
      </c>
      <c r="C112" s="105">
        <v>-1.4301844185171208E-2</v>
      </c>
      <c r="E112" s="149">
        <v>45436</v>
      </c>
      <c r="F112" s="150">
        <v>7999.2</v>
      </c>
      <c r="G112">
        <v>-7.371007371007438E-3</v>
      </c>
    </row>
    <row r="113" spans="1:7" x14ac:dyDescent="0.2">
      <c r="A113" t="s">
        <v>294</v>
      </c>
      <c r="B113">
        <v>26.19</v>
      </c>
      <c r="C113" s="105">
        <v>0</v>
      </c>
      <c r="E113" s="149">
        <v>45435</v>
      </c>
      <c r="F113" s="150">
        <v>8083.1</v>
      </c>
      <c r="G113">
        <v>1.0488548854885557E-2</v>
      </c>
    </row>
    <row r="114" spans="1:7" x14ac:dyDescent="0.2">
      <c r="A114" t="s">
        <v>295</v>
      </c>
      <c r="B114">
        <v>26.31</v>
      </c>
      <c r="C114" s="105">
        <v>4.5819014891178862E-3</v>
      </c>
      <c r="E114" s="149">
        <v>45434</v>
      </c>
      <c r="F114" s="150">
        <v>8118.3</v>
      </c>
      <c r="G114">
        <v>4.3547648798109408E-3</v>
      </c>
    </row>
    <row r="115" spans="1:7" x14ac:dyDescent="0.2">
      <c r="A115" t="s">
        <v>296</v>
      </c>
      <c r="B115">
        <v>25.84</v>
      </c>
      <c r="C115" s="105">
        <v>-1.7863930064614172E-2</v>
      </c>
      <c r="E115" s="149">
        <v>45433</v>
      </c>
      <c r="F115" s="150">
        <v>8120.2</v>
      </c>
      <c r="G115">
        <v>2.340391461266073E-4</v>
      </c>
    </row>
    <row r="116" spans="1:7" x14ac:dyDescent="0.2">
      <c r="A116" t="s">
        <v>297</v>
      </c>
      <c r="B116">
        <v>25.37</v>
      </c>
      <c r="C116" s="105">
        <v>-1.8188854489164043E-2</v>
      </c>
      <c r="E116" s="149">
        <v>45432</v>
      </c>
      <c r="F116" s="150">
        <v>8132.1</v>
      </c>
      <c r="G116">
        <v>1.4654811457846539E-3</v>
      </c>
    </row>
    <row r="117" spans="1:7" x14ac:dyDescent="0.2">
      <c r="A117" t="s">
        <v>298</v>
      </c>
      <c r="B117">
        <v>25.33</v>
      </c>
      <c r="C117" s="105">
        <v>-1.5766653527789791E-3</v>
      </c>
      <c r="E117" s="149">
        <v>45429</v>
      </c>
      <c r="F117" s="150">
        <v>8082.3</v>
      </c>
      <c r="G117">
        <v>-6.1238794407348874E-3</v>
      </c>
    </row>
    <row r="118" spans="1:7" x14ac:dyDescent="0.2">
      <c r="A118" t="s">
        <v>299</v>
      </c>
      <c r="B118">
        <v>26.07</v>
      </c>
      <c r="C118" s="105">
        <v>2.9214370311883224E-2</v>
      </c>
      <c r="E118" s="149">
        <v>45428</v>
      </c>
      <c r="F118" s="150">
        <v>8150.1</v>
      </c>
      <c r="G118">
        <v>8.388701236034319E-3</v>
      </c>
    </row>
    <row r="119" spans="1:7" x14ac:dyDescent="0.2">
      <c r="A119" t="s">
        <v>300</v>
      </c>
      <c r="B119">
        <v>26.37</v>
      </c>
      <c r="C119" s="105">
        <v>1.1507479861910268E-2</v>
      </c>
      <c r="E119" s="149">
        <v>45427</v>
      </c>
      <c r="F119" s="150">
        <v>8020.9</v>
      </c>
      <c r="G119">
        <v>-1.5852566226181364E-2</v>
      </c>
    </row>
    <row r="120" spans="1:7" x14ac:dyDescent="0.2">
      <c r="A120" t="s">
        <v>301</v>
      </c>
      <c r="B120">
        <v>26.29</v>
      </c>
      <c r="C120" s="105">
        <v>-3.0337504740235817E-3</v>
      </c>
      <c r="E120" s="149">
        <v>45426</v>
      </c>
      <c r="F120" s="150">
        <v>7995.7</v>
      </c>
      <c r="G120">
        <v>-3.1417920682217482E-3</v>
      </c>
    </row>
    <row r="121" spans="1:7" x14ac:dyDescent="0.2">
      <c r="A121" t="s">
        <v>302</v>
      </c>
      <c r="B121">
        <v>26.17</v>
      </c>
      <c r="C121" s="105">
        <v>-4.5644731837199484E-3</v>
      </c>
      <c r="E121" s="149">
        <v>45425</v>
      </c>
      <c r="F121" s="150">
        <v>8019.4</v>
      </c>
      <c r="G121">
        <v>2.9640932000950283E-3</v>
      </c>
    </row>
    <row r="122" spans="1:7" x14ac:dyDescent="0.2">
      <c r="A122" t="s">
        <v>303</v>
      </c>
      <c r="B122">
        <v>26.38</v>
      </c>
      <c r="C122" s="105">
        <v>8.0244554833778098E-3</v>
      </c>
      <c r="E122" s="149">
        <v>45422</v>
      </c>
      <c r="F122" s="150">
        <v>8022.7</v>
      </c>
      <c r="G122">
        <v>4.1150210738960297E-4</v>
      </c>
    </row>
    <row r="123" spans="1:7" x14ac:dyDescent="0.2">
      <c r="A123" t="s">
        <v>304</v>
      </c>
      <c r="B123">
        <v>25.91</v>
      </c>
      <c r="C123" s="105">
        <v>-1.7816527672479109E-2</v>
      </c>
      <c r="E123" s="149">
        <v>45421</v>
      </c>
      <c r="F123" s="150">
        <v>7994.2</v>
      </c>
      <c r="G123">
        <v>-3.5524200082266569E-3</v>
      </c>
    </row>
    <row r="124" spans="1:7" x14ac:dyDescent="0.2">
      <c r="A124" t="s">
        <v>305</v>
      </c>
      <c r="B124">
        <v>25.84</v>
      </c>
      <c r="C124" s="105">
        <v>-2.7016595908915587E-3</v>
      </c>
      <c r="E124" s="149">
        <v>45420</v>
      </c>
      <c r="F124" s="150">
        <v>8076.7</v>
      </c>
      <c r="G124">
        <v>1.0319981986940532E-2</v>
      </c>
    </row>
    <row r="125" spans="1:7" x14ac:dyDescent="0.2">
      <c r="A125" t="s">
        <v>306</v>
      </c>
      <c r="B125">
        <v>26.01</v>
      </c>
      <c r="C125" s="105">
        <v>6.5789473684211191E-3</v>
      </c>
      <c r="E125" s="149">
        <v>45419</v>
      </c>
      <c r="F125" s="150">
        <v>8065.5</v>
      </c>
      <c r="G125">
        <v>-1.3867049661371374E-3</v>
      </c>
    </row>
    <row r="126" spans="1:7" x14ac:dyDescent="0.2">
      <c r="A126" t="s">
        <v>307</v>
      </c>
      <c r="B126">
        <v>25.83</v>
      </c>
      <c r="C126" s="105">
        <v>-6.9204152249136199E-3</v>
      </c>
      <c r="E126" s="149">
        <v>45418</v>
      </c>
      <c r="F126" s="150">
        <v>7952.3</v>
      </c>
      <c r="G126">
        <v>-1.4035087719298223E-2</v>
      </c>
    </row>
    <row r="127" spans="1:7" x14ac:dyDescent="0.2">
      <c r="A127" t="s">
        <v>308</v>
      </c>
      <c r="B127">
        <v>25.52</v>
      </c>
      <c r="C127" s="105">
        <v>-1.2001548586914391E-2</v>
      </c>
      <c r="E127" s="149">
        <v>45415</v>
      </c>
      <c r="F127" s="150">
        <v>7897.5</v>
      </c>
      <c r="G127">
        <v>-6.8910881128730278E-3</v>
      </c>
    </row>
    <row r="128" spans="1:7" x14ac:dyDescent="0.2">
      <c r="A128" t="s">
        <v>309</v>
      </c>
      <c r="B128">
        <v>25.12</v>
      </c>
      <c r="C128" s="105">
        <v>-1.5673981191222514E-2</v>
      </c>
      <c r="E128" s="149">
        <v>45414</v>
      </c>
      <c r="F128" s="150">
        <v>7849.4</v>
      </c>
      <c r="G128">
        <v>-6.0905349794239142E-3</v>
      </c>
    </row>
    <row r="129" spans="1:7" x14ac:dyDescent="0.2">
      <c r="A129" t="s">
        <v>310</v>
      </c>
      <c r="B129">
        <v>25.01</v>
      </c>
      <c r="C129" s="105">
        <v>-4.3789808917197226E-3</v>
      </c>
      <c r="E129" s="149">
        <v>45413</v>
      </c>
      <c r="F129" s="150">
        <v>7831.9</v>
      </c>
      <c r="G129">
        <v>-2.2294697683899406E-3</v>
      </c>
    </row>
    <row r="130" spans="1:7" x14ac:dyDescent="0.2">
      <c r="A130" t="s">
        <v>311</v>
      </c>
      <c r="B130">
        <v>25.72</v>
      </c>
      <c r="C130" s="105">
        <v>2.8388644542183018E-2</v>
      </c>
      <c r="E130" s="149">
        <v>45412</v>
      </c>
      <c r="F130" s="150">
        <v>7932</v>
      </c>
      <c r="G130">
        <v>1.2781062066676077E-2</v>
      </c>
    </row>
    <row r="131" spans="1:7" x14ac:dyDescent="0.2">
      <c r="A131" t="s">
        <v>312</v>
      </c>
      <c r="B131">
        <v>25.77</v>
      </c>
      <c r="C131" s="105">
        <v>1.9440124416796544E-3</v>
      </c>
      <c r="E131" s="149">
        <v>45411</v>
      </c>
      <c r="F131" s="150">
        <v>7906.6</v>
      </c>
      <c r="G131">
        <v>-3.2022188603126117E-3</v>
      </c>
    </row>
    <row r="132" spans="1:7" x14ac:dyDescent="0.2">
      <c r="A132" t="s">
        <v>313</v>
      </c>
      <c r="B132">
        <v>25.3</v>
      </c>
      <c r="C132" s="105">
        <v>-1.8238261544431467E-2</v>
      </c>
      <c r="E132" s="149">
        <v>45408</v>
      </c>
      <c r="F132" s="150">
        <v>7837.4</v>
      </c>
      <c r="G132">
        <v>-8.7521817215997673E-3</v>
      </c>
    </row>
    <row r="133" spans="1:7" x14ac:dyDescent="0.2">
      <c r="A133" t="s">
        <v>314</v>
      </c>
      <c r="B133">
        <v>25.61</v>
      </c>
      <c r="C133" s="105">
        <v>1.2252964426877419E-2</v>
      </c>
      <c r="E133" s="149">
        <v>45406</v>
      </c>
      <c r="F133" s="150">
        <v>7937.5</v>
      </c>
      <c r="G133">
        <v>1.2772092785872912E-2</v>
      </c>
    </row>
    <row r="134" spans="1:7" x14ac:dyDescent="0.2">
      <c r="A134" t="s">
        <v>315</v>
      </c>
      <c r="B134">
        <v>25.55</v>
      </c>
      <c r="C134" s="105">
        <v>-2.3428348301444248E-3</v>
      </c>
      <c r="E134" s="149">
        <v>45405</v>
      </c>
      <c r="F134" s="150">
        <v>7937.9</v>
      </c>
      <c r="G134">
        <v>5.0393700787355741E-5</v>
      </c>
    </row>
    <row r="135" spans="1:7" x14ac:dyDescent="0.2">
      <c r="A135" t="s">
        <v>316</v>
      </c>
      <c r="B135">
        <v>25.14</v>
      </c>
      <c r="C135" s="105">
        <v>-1.6046966731898243E-2</v>
      </c>
      <c r="E135" s="149">
        <v>45404</v>
      </c>
      <c r="F135" s="150">
        <v>7902</v>
      </c>
      <c r="G135">
        <v>-4.5226067347786739E-3</v>
      </c>
    </row>
    <row r="136" spans="1:7" x14ac:dyDescent="0.2">
      <c r="A136" t="s">
        <v>317</v>
      </c>
      <c r="B136">
        <v>24.19</v>
      </c>
      <c r="C136" s="105">
        <v>-3.7788385043754945E-2</v>
      </c>
      <c r="E136" s="149">
        <v>45401</v>
      </c>
      <c r="F136" s="150">
        <v>7817.4</v>
      </c>
      <c r="G136">
        <v>-1.0706150341685695E-2</v>
      </c>
    </row>
    <row r="137" spans="1:7" x14ac:dyDescent="0.2">
      <c r="A137" t="s">
        <v>318</v>
      </c>
      <c r="B137">
        <v>25.17</v>
      </c>
      <c r="C137" s="105">
        <v>4.0512608515915684E-2</v>
      </c>
      <c r="E137" s="149">
        <v>45400</v>
      </c>
      <c r="F137" s="150">
        <v>7898.9</v>
      </c>
      <c r="G137">
        <v>1.042546115076624E-2</v>
      </c>
    </row>
    <row r="138" spans="1:7" x14ac:dyDescent="0.2">
      <c r="A138" t="s">
        <v>319</v>
      </c>
      <c r="B138">
        <v>25.52</v>
      </c>
      <c r="C138" s="105">
        <v>1.3905442987683665E-2</v>
      </c>
      <c r="E138" s="149">
        <v>45399</v>
      </c>
      <c r="F138" s="150">
        <v>7861</v>
      </c>
      <c r="G138">
        <v>-4.7981364493789817E-3</v>
      </c>
    </row>
    <row r="139" spans="1:7" x14ac:dyDescent="0.2">
      <c r="A139" t="s">
        <v>320</v>
      </c>
      <c r="B139">
        <v>25.43</v>
      </c>
      <c r="C139" s="105">
        <v>-3.5266457680250729E-3</v>
      </c>
      <c r="E139" s="149">
        <v>45398</v>
      </c>
      <c r="F139" s="150">
        <v>7862.3</v>
      </c>
      <c r="G139">
        <v>1.6537336216768629E-4</v>
      </c>
    </row>
    <row r="140" spans="1:7" x14ac:dyDescent="0.2">
      <c r="A140" t="s">
        <v>321</v>
      </c>
      <c r="B140">
        <v>26.04</v>
      </c>
      <c r="C140" s="105">
        <v>2.3987416437278784E-2</v>
      </c>
      <c r="E140" s="149">
        <v>45397</v>
      </c>
      <c r="F140" s="150">
        <v>8009.4</v>
      </c>
      <c r="G140">
        <v>1.8709537921473292E-2</v>
      </c>
    </row>
    <row r="141" spans="1:7" x14ac:dyDescent="0.2">
      <c r="A141" t="s">
        <v>322</v>
      </c>
      <c r="B141">
        <v>26.65</v>
      </c>
      <c r="C141" s="105">
        <v>2.3425499231950822E-2</v>
      </c>
      <c r="E141" s="149">
        <v>45394</v>
      </c>
      <c r="F141" s="150">
        <v>8050.2</v>
      </c>
      <c r="G141">
        <v>5.0940145329238379E-3</v>
      </c>
    </row>
    <row r="142" spans="1:7" x14ac:dyDescent="0.2">
      <c r="A142" t="s">
        <v>323</v>
      </c>
      <c r="B142">
        <v>26.58</v>
      </c>
      <c r="C142" s="105">
        <v>-2.6266416510319058E-3</v>
      </c>
      <c r="E142" s="149">
        <v>45393</v>
      </c>
      <c r="F142" s="150">
        <v>8074.1</v>
      </c>
      <c r="G142">
        <v>2.9688703386251953E-3</v>
      </c>
    </row>
    <row r="143" spans="1:7" x14ac:dyDescent="0.2">
      <c r="A143" t="s">
        <v>324</v>
      </c>
      <c r="B143">
        <v>26.56</v>
      </c>
      <c r="C143" s="105">
        <v>-7.5244544770502542E-4</v>
      </c>
      <c r="E143" s="149">
        <v>45392</v>
      </c>
      <c r="F143" s="150">
        <v>8109.7</v>
      </c>
      <c r="G143">
        <v>4.4091601540728323E-3</v>
      </c>
    </row>
    <row r="144" spans="1:7" x14ac:dyDescent="0.2">
      <c r="A144" t="s">
        <v>325</v>
      </c>
      <c r="B144">
        <v>26.43</v>
      </c>
      <c r="C144" s="105">
        <v>-4.8945783132529749E-3</v>
      </c>
      <c r="E144" s="149">
        <v>45391</v>
      </c>
      <c r="F144" s="150">
        <v>8081.2</v>
      </c>
      <c r="G144">
        <v>-3.514310023798661E-3</v>
      </c>
    </row>
    <row r="145" spans="1:7" x14ac:dyDescent="0.2">
      <c r="A145" t="s">
        <v>326</v>
      </c>
      <c r="B145">
        <v>26.06</v>
      </c>
      <c r="C145" s="105">
        <v>-1.3999243284146841E-2</v>
      </c>
      <c r="E145" s="149">
        <v>45390</v>
      </c>
      <c r="F145" s="150">
        <v>8044.9</v>
      </c>
      <c r="G145">
        <v>-4.4919071425036112E-3</v>
      </c>
    </row>
    <row r="146" spans="1:7" x14ac:dyDescent="0.2">
      <c r="A146" t="s">
        <v>327</v>
      </c>
      <c r="B146">
        <v>25.9</v>
      </c>
      <c r="C146" s="105">
        <v>-6.1396776669224926E-3</v>
      </c>
      <c r="E146" s="149">
        <v>45387</v>
      </c>
      <c r="F146" s="150">
        <v>8026</v>
      </c>
      <c r="G146">
        <v>-2.3493144725229196E-3</v>
      </c>
    </row>
    <row r="147" spans="1:7" x14ac:dyDescent="0.2">
      <c r="A147" t="s">
        <v>328</v>
      </c>
      <c r="B147">
        <v>26</v>
      </c>
      <c r="C147" s="105">
        <v>3.8610038610039162E-3</v>
      </c>
      <c r="E147" s="149">
        <v>45386</v>
      </c>
      <c r="F147" s="150">
        <v>8072.5</v>
      </c>
      <c r="G147">
        <v>5.7936705706454024E-3</v>
      </c>
    </row>
    <row r="148" spans="1:7" x14ac:dyDescent="0.2">
      <c r="A148" t="s">
        <v>329</v>
      </c>
      <c r="B148">
        <v>25.84</v>
      </c>
      <c r="C148" s="105">
        <v>-6.153846153846159E-3</v>
      </c>
      <c r="E148" s="149">
        <v>45385</v>
      </c>
      <c r="F148" s="150">
        <v>8033.6</v>
      </c>
      <c r="G148">
        <v>-4.8188293589346096E-3</v>
      </c>
    </row>
    <row r="149" spans="1:7" x14ac:dyDescent="0.2">
      <c r="A149" t="s">
        <v>330</v>
      </c>
      <c r="B149">
        <v>27.1</v>
      </c>
      <c r="C149" s="105">
        <v>4.8761609907120806E-2</v>
      </c>
      <c r="E149" s="149">
        <v>45384</v>
      </c>
      <c r="F149" s="150">
        <v>8145.8</v>
      </c>
      <c r="G149">
        <v>1.3966341366261677E-2</v>
      </c>
    </row>
    <row r="150" spans="1:7" x14ac:dyDescent="0.2">
      <c r="A150" t="s">
        <v>331</v>
      </c>
      <c r="B150">
        <v>27.35</v>
      </c>
      <c r="C150" s="105">
        <v>9.2250922509225092E-3</v>
      </c>
      <c r="E150" s="149">
        <v>45379</v>
      </c>
      <c r="F150" s="150">
        <v>8153.7</v>
      </c>
      <c r="G150">
        <v>9.6982494046006973E-4</v>
      </c>
    </row>
    <row r="151" spans="1:7" x14ac:dyDescent="0.2">
      <c r="A151" t="s">
        <v>332</v>
      </c>
      <c r="B151">
        <v>27.15</v>
      </c>
      <c r="C151" s="105">
        <v>-7.3126142595979094E-3</v>
      </c>
      <c r="E151" s="149">
        <v>45378</v>
      </c>
      <c r="F151" s="150">
        <v>8073.6</v>
      </c>
      <c r="G151">
        <v>-9.823760991942241E-3</v>
      </c>
    </row>
    <row r="152" spans="1:7" x14ac:dyDescent="0.2">
      <c r="A152" t="s">
        <v>333</v>
      </c>
      <c r="B152">
        <v>27.02</v>
      </c>
      <c r="C152" s="105">
        <v>-4.7882136279925975E-3</v>
      </c>
      <c r="E152" s="149">
        <v>45377</v>
      </c>
      <c r="F152" s="150">
        <v>8036.7</v>
      </c>
      <c r="G152">
        <v>-4.5704518430440631E-3</v>
      </c>
    </row>
    <row r="153" spans="1:7" x14ac:dyDescent="0.2">
      <c r="A153" t="s">
        <v>334</v>
      </c>
      <c r="B153">
        <v>26.15</v>
      </c>
      <c r="C153" s="105">
        <v>-3.2198371576609958E-2</v>
      </c>
      <c r="E153" s="149">
        <v>45376</v>
      </c>
      <c r="F153" s="150">
        <v>8071.5</v>
      </c>
      <c r="G153">
        <v>4.3301355033782754E-3</v>
      </c>
    </row>
    <row r="154" spans="1:7" x14ac:dyDescent="0.2">
      <c r="A154" t="s">
        <v>335</v>
      </c>
      <c r="B154">
        <v>25.7</v>
      </c>
      <c r="C154" s="105">
        <v>-1.7208413001912018E-2</v>
      </c>
      <c r="E154" s="149">
        <v>45373</v>
      </c>
      <c r="F154" s="150">
        <v>8026.3</v>
      </c>
      <c r="G154">
        <v>-5.5999504429164121E-3</v>
      </c>
    </row>
    <row r="155" spans="1:7" x14ac:dyDescent="0.2">
      <c r="A155" t="s">
        <v>336</v>
      </c>
      <c r="B155">
        <v>26.62</v>
      </c>
      <c r="C155" s="105">
        <v>3.5797665369649873E-2</v>
      </c>
      <c r="E155" s="149">
        <v>45372</v>
      </c>
      <c r="F155" s="150">
        <v>8044.6</v>
      </c>
      <c r="G155">
        <v>2.2800044852547478E-3</v>
      </c>
    </row>
    <row r="156" spans="1:7" x14ac:dyDescent="0.2">
      <c r="A156" t="s">
        <v>337</v>
      </c>
      <c r="B156">
        <v>26.87</v>
      </c>
      <c r="C156" s="105">
        <v>9.3914350112697213E-3</v>
      </c>
      <c r="E156" s="149">
        <v>45371</v>
      </c>
      <c r="F156" s="150">
        <v>7954.5</v>
      </c>
      <c r="G156">
        <v>-1.1200059667354543E-2</v>
      </c>
    </row>
    <row r="157" spans="1:7" x14ac:dyDescent="0.2">
      <c r="A157" t="s">
        <v>338</v>
      </c>
      <c r="B157">
        <v>27.06</v>
      </c>
      <c r="C157" s="105">
        <v>7.0710829921845075E-3</v>
      </c>
      <c r="E157" s="149">
        <v>45370</v>
      </c>
      <c r="F157" s="150">
        <v>7957.8</v>
      </c>
      <c r="G157">
        <v>4.1485951348295706E-4</v>
      </c>
    </row>
    <row r="158" spans="1:7" x14ac:dyDescent="0.2">
      <c r="A158" t="s">
        <v>339</v>
      </c>
      <c r="B158">
        <v>27.97</v>
      </c>
      <c r="C158" s="105">
        <v>3.3628972653362905E-2</v>
      </c>
      <c r="E158" s="149">
        <v>45369</v>
      </c>
      <c r="F158" s="150">
        <v>7925.2</v>
      </c>
      <c r="G158">
        <v>-4.0966096157229841E-3</v>
      </c>
    </row>
    <row r="159" spans="1:7" x14ac:dyDescent="0.2">
      <c r="A159" t="s">
        <v>340</v>
      </c>
      <c r="B159">
        <v>27.3</v>
      </c>
      <c r="C159" s="105">
        <v>-2.3954236682159392E-2</v>
      </c>
      <c r="E159" s="149">
        <v>45366</v>
      </c>
      <c r="F159" s="150">
        <v>7923.8</v>
      </c>
      <c r="G159">
        <v>-1.7665169333261447E-4</v>
      </c>
    </row>
    <row r="160" spans="1:7" x14ac:dyDescent="0.2">
      <c r="A160" t="s">
        <v>341</v>
      </c>
      <c r="B160">
        <v>28.55</v>
      </c>
      <c r="C160" s="105">
        <v>4.5787545787545784E-2</v>
      </c>
      <c r="E160" s="149">
        <v>45365</v>
      </c>
      <c r="F160" s="150">
        <v>7974</v>
      </c>
      <c r="G160">
        <v>6.3353441530578534E-3</v>
      </c>
    </row>
    <row r="161" spans="1:7" x14ac:dyDescent="0.2">
      <c r="A161" t="s">
        <v>342</v>
      </c>
      <c r="B161">
        <v>28.14</v>
      </c>
      <c r="C161" s="105">
        <v>-1.4360770577933455E-2</v>
      </c>
      <c r="E161" s="149">
        <v>45364</v>
      </c>
      <c r="F161" s="150">
        <v>7989.5</v>
      </c>
      <c r="G161">
        <v>1.9438174065713569E-3</v>
      </c>
    </row>
    <row r="162" spans="1:7" x14ac:dyDescent="0.2">
      <c r="A162" t="s">
        <v>343</v>
      </c>
      <c r="B162">
        <v>27.74</v>
      </c>
      <c r="C162" s="105">
        <v>-1.4214641080312798E-2</v>
      </c>
      <c r="E162" s="149">
        <v>45363</v>
      </c>
      <c r="F162" s="150">
        <v>7973</v>
      </c>
      <c r="G162">
        <v>-2.0652105888979287E-3</v>
      </c>
    </row>
    <row r="163" spans="1:7" x14ac:dyDescent="0.2">
      <c r="A163" t="s">
        <v>344</v>
      </c>
      <c r="B163">
        <v>27.25</v>
      </c>
      <c r="C163" s="105">
        <v>-1.7664023071377016E-2</v>
      </c>
      <c r="E163" s="149">
        <v>45362</v>
      </c>
      <c r="F163" s="150">
        <v>7963.6</v>
      </c>
      <c r="G163">
        <v>-1.1789790543082449E-3</v>
      </c>
    </row>
    <row r="164" spans="1:7" x14ac:dyDescent="0.2">
      <c r="A164" t="s">
        <v>345</v>
      </c>
      <c r="B164">
        <v>27.49</v>
      </c>
      <c r="C164" s="105">
        <v>8.8073394495412263E-3</v>
      </c>
      <c r="E164" s="149">
        <v>45359</v>
      </c>
      <c r="F164" s="150">
        <v>8107.5</v>
      </c>
      <c r="G164">
        <v>1.8069717213320562E-2</v>
      </c>
    </row>
    <row r="165" spans="1:7" x14ac:dyDescent="0.2">
      <c r="A165" t="s">
        <v>346</v>
      </c>
      <c r="B165">
        <v>26.87</v>
      </c>
      <c r="C165" s="105">
        <v>-2.2553655874863496E-2</v>
      </c>
      <c r="E165" s="149">
        <v>45358</v>
      </c>
      <c r="F165" s="150">
        <v>8026.7</v>
      </c>
      <c r="G165">
        <v>-9.9660807893925604E-3</v>
      </c>
    </row>
    <row r="166" spans="1:7" x14ac:dyDescent="0.2">
      <c r="A166" t="s">
        <v>347</v>
      </c>
      <c r="B166">
        <v>26.75</v>
      </c>
      <c r="C166" s="105">
        <v>-4.4659471529587269E-3</v>
      </c>
      <c r="E166" s="149">
        <v>45357</v>
      </c>
      <c r="F166" s="150">
        <v>7990.3</v>
      </c>
      <c r="G166">
        <v>-4.5348648884348036E-3</v>
      </c>
    </row>
    <row r="167" spans="1:7" x14ac:dyDescent="0.2">
      <c r="A167" t="s">
        <v>348</v>
      </c>
      <c r="B167">
        <v>26.72</v>
      </c>
      <c r="C167" s="105">
        <v>-1.1214953271028462E-3</v>
      </c>
      <c r="E167" s="149">
        <v>45356</v>
      </c>
      <c r="F167" s="150">
        <v>7988.3</v>
      </c>
      <c r="G167">
        <v>-2.5030349298524459E-4</v>
      </c>
    </row>
    <row r="168" spans="1:7" x14ac:dyDescent="0.2">
      <c r="A168" t="s">
        <v>349</v>
      </c>
      <c r="B168">
        <v>26.29</v>
      </c>
      <c r="C168" s="105">
        <v>-1.6092814371257477E-2</v>
      </c>
      <c r="E168" s="149">
        <v>45355</v>
      </c>
      <c r="F168" s="150">
        <v>7996.5</v>
      </c>
      <c r="G168">
        <v>1.0265012580899337E-3</v>
      </c>
    </row>
    <row r="169" spans="1:7" x14ac:dyDescent="0.2">
      <c r="A169" t="s">
        <v>350</v>
      </c>
      <c r="B169">
        <v>26.2</v>
      </c>
      <c r="C169" s="105">
        <v>-3.423354887790029E-3</v>
      </c>
      <c r="E169" s="149">
        <v>45352</v>
      </c>
      <c r="F169" s="150">
        <v>8007.1</v>
      </c>
      <c r="G169">
        <v>1.325579941224331E-3</v>
      </c>
    </row>
    <row r="170" spans="1:7" x14ac:dyDescent="0.2">
      <c r="A170" t="s">
        <v>351</v>
      </c>
      <c r="B170">
        <v>27.04</v>
      </c>
      <c r="C170" s="105">
        <v>3.2061068702290071E-2</v>
      </c>
      <c r="E170" s="149">
        <v>45351</v>
      </c>
      <c r="F170" s="150">
        <v>7959.5</v>
      </c>
      <c r="G170">
        <v>-5.9447240573991039E-3</v>
      </c>
    </row>
    <row r="171" spans="1:7" x14ac:dyDescent="0.2">
      <c r="A171" t="s">
        <v>352</v>
      </c>
      <c r="B171">
        <v>26.84</v>
      </c>
      <c r="C171" s="105">
        <v>-7.3964497041419854E-3</v>
      </c>
      <c r="E171" s="149">
        <v>45350</v>
      </c>
      <c r="F171" s="150">
        <v>7917.1</v>
      </c>
      <c r="G171">
        <v>-5.3269677743576398E-3</v>
      </c>
    </row>
    <row r="172" spans="1:7" x14ac:dyDescent="0.2">
      <c r="A172" t="s">
        <v>353</v>
      </c>
      <c r="B172">
        <v>27.17</v>
      </c>
      <c r="C172" s="105">
        <v>1.2295081967213184E-2</v>
      </c>
      <c r="E172" s="149">
        <v>45349</v>
      </c>
      <c r="F172" s="150">
        <v>7922.2</v>
      </c>
      <c r="G172">
        <v>6.441752661958866E-4</v>
      </c>
    </row>
    <row r="173" spans="1:7" x14ac:dyDescent="0.2">
      <c r="A173" t="s">
        <v>354</v>
      </c>
      <c r="B173">
        <v>26.74</v>
      </c>
      <c r="C173" s="105">
        <v>-1.5826278984173839E-2</v>
      </c>
      <c r="E173" s="149">
        <v>45348</v>
      </c>
      <c r="F173" s="150">
        <v>7908.1</v>
      </c>
      <c r="G173">
        <v>-1.7798086390143463E-3</v>
      </c>
    </row>
    <row r="174" spans="1:7" x14ac:dyDescent="0.2">
      <c r="A174" t="s">
        <v>355</v>
      </c>
      <c r="B174">
        <v>26.54</v>
      </c>
      <c r="C174" s="105">
        <v>-7.4794315632011705E-3</v>
      </c>
      <c r="E174" s="149">
        <v>45345</v>
      </c>
      <c r="F174" s="150">
        <v>7899.2</v>
      </c>
      <c r="G174">
        <v>-1.1254283582656447E-3</v>
      </c>
    </row>
    <row r="175" spans="1:7" x14ac:dyDescent="0.2">
      <c r="A175" t="s">
        <v>356</v>
      </c>
      <c r="B175">
        <v>26.87</v>
      </c>
      <c r="C175" s="105">
        <v>1.2434061793519286E-2</v>
      </c>
      <c r="E175" s="149">
        <v>45344</v>
      </c>
      <c r="F175" s="150">
        <v>7865.3</v>
      </c>
      <c r="G175">
        <v>-4.291573830261246E-3</v>
      </c>
    </row>
    <row r="176" spans="1:7" x14ac:dyDescent="0.2">
      <c r="A176" t="s">
        <v>357</v>
      </c>
      <c r="B176">
        <v>26.94</v>
      </c>
      <c r="C176" s="105">
        <v>2.6051358392259129E-3</v>
      </c>
      <c r="E176" s="149">
        <v>45343</v>
      </c>
      <c r="F176" s="150">
        <v>7851.8</v>
      </c>
      <c r="G176">
        <v>-1.7163998830305265E-3</v>
      </c>
    </row>
    <row r="177" spans="1:7" x14ac:dyDescent="0.2">
      <c r="A177" t="s">
        <v>358</v>
      </c>
      <c r="B177">
        <v>26.97</v>
      </c>
      <c r="C177" s="105">
        <v>1.1135857461023601E-3</v>
      </c>
      <c r="E177" s="149">
        <v>45342</v>
      </c>
      <c r="F177" s="150">
        <v>7911.5</v>
      </c>
      <c r="G177">
        <v>7.6033520976081688E-3</v>
      </c>
    </row>
    <row r="178" spans="1:7" x14ac:dyDescent="0.2">
      <c r="A178" t="s">
        <v>359</v>
      </c>
      <c r="B178">
        <v>25.86</v>
      </c>
      <c r="C178" s="105">
        <v>-4.1156840934371504E-2</v>
      </c>
      <c r="E178" s="149">
        <v>45341</v>
      </c>
      <c r="F178" s="150">
        <v>7913.3</v>
      </c>
      <c r="G178">
        <v>2.2751690577010452E-4</v>
      </c>
    </row>
    <row r="179" spans="1:7" x14ac:dyDescent="0.2">
      <c r="A179" t="s">
        <v>360</v>
      </c>
      <c r="B179">
        <v>26.01</v>
      </c>
      <c r="C179" s="105">
        <v>5.800464037123052E-3</v>
      </c>
      <c r="E179" s="149">
        <v>45338</v>
      </c>
      <c r="F179" s="150">
        <v>7905.6</v>
      </c>
      <c r="G179">
        <v>-9.7304537929812065E-4</v>
      </c>
    </row>
    <row r="180" spans="1:7" x14ac:dyDescent="0.2">
      <c r="A180" t="s">
        <v>361</v>
      </c>
      <c r="B180">
        <v>25.64</v>
      </c>
      <c r="C180" s="105">
        <v>-1.4225297962322222E-2</v>
      </c>
      <c r="E180" s="149">
        <v>45337</v>
      </c>
      <c r="F180" s="150">
        <v>7851.7</v>
      </c>
      <c r="G180">
        <v>-6.8179518316131022E-3</v>
      </c>
    </row>
    <row r="181" spans="1:7" x14ac:dyDescent="0.2">
      <c r="A181" t="s">
        <v>362</v>
      </c>
      <c r="B181">
        <v>24.66</v>
      </c>
      <c r="C181" s="105">
        <v>-3.8221528861154465E-2</v>
      </c>
      <c r="E181" s="149">
        <v>45336</v>
      </c>
      <c r="F181" s="150">
        <v>7790.5</v>
      </c>
      <c r="G181">
        <v>-7.7944903651438312E-3</v>
      </c>
    </row>
    <row r="182" spans="1:7" x14ac:dyDescent="0.2">
      <c r="A182" t="s">
        <v>363</v>
      </c>
      <c r="B182">
        <v>24.74</v>
      </c>
      <c r="C182" s="105">
        <v>3.244120032441131E-3</v>
      </c>
      <c r="E182" s="149">
        <v>45335</v>
      </c>
      <c r="F182" s="150">
        <v>7847.8</v>
      </c>
      <c r="G182">
        <v>7.3551119953790102E-3</v>
      </c>
    </row>
    <row r="183" spans="1:7" x14ac:dyDescent="0.2">
      <c r="A183" t="s">
        <v>364</v>
      </c>
      <c r="B183">
        <v>27.03</v>
      </c>
      <c r="C183" s="105">
        <v>9.2562651576394622E-2</v>
      </c>
      <c r="E183" s="149">
        <v>45334</v>
      </c>
      <c r="F183" s="150">
        <v>7860.3</v>
      </c>
      <c r="G183">
        <v>1.5928030785697903E-3</v>
      </c>
    </row>
    <row r="184" spans="1:7" x14ac:dyDescent="0.2">
      <c r="A184" t="s">
        <v>365</v>
      </c>
      <c r="B184">
        <v>26.88</v>
      </c>
      <c r="C184" s="105">
        <v>-5.5493895671476926E-3</v>
      </c>
      <c r="E184" s="149">
        <v>45331</v>
      </c>
      <c r="F184" s="150">
        <v>7884.7</v>
      </c>
      <c r="G184">
        <v>3.104207218553953E-3</v>
      </c>
    </row>
    <row r="185" spans="1:7" x14ac:dyDescent="0.2">
      <c r="A185" t="s">
        <v>366</v>
      </c>
      <c r="B185">
        <v>26.73</v>
      </c>
      <c r="C185" s="105">
        <v>-5.5803571428570901E-3</v>
      </c>
      <c r="E185" s="149">
        <v>45330</v>
      </c>
      <c r="F185" s="150">
        <v>7875.2</v>
      </c>
      <c r="G185">
        <v>-1.2048651185206792E-3</v>
      </c>
    </row>
    <row r="186" spans="1:7" x14ac:dyDescent="0.2">
      <c r="A186" t="s">
        <v>367</v>
      </c>
      <c r="B186">
        <v>26.68</v>
      </c>
      <c r="C186" s="105">
        <v>-1.8705574261130083E-3</v>
      </c>
      <c r="E186" s="149">
        <v>45329</v>
      </c>
      <c r="F186" s="150">
        <v>7860.9</v>
      </c>
      <c r="G186">
        <v>-1.8158268996343182E-3</v>
      </c>
    </row>
    <row r="187" spans="1:7" x14ac:dyDescent="0.2">
      <c r="A187" t="s">
        <v>368</v>
      </c>
      <c r="B187">
        <v>26.22</v>
      </c>
      <c r="C187" s="105">
        <v>-1.7241379310344859E-2</v>
      </c>
      <c r="E187" s="149">
        <v>45328</v>
      </c>
      <c r="F187" s="150">
        <v>7808.9</v>
      </c>
      <c r="G187">
        <v>-6.6150186365428899E-3</v>
      </c>
    </row>
    <row r="188" spans="1:7" x14ac:dyDescent="0.2">
      <c r="A188" t="s">
        <v>369</v>
      </c>
      <c r="B188">
        <v>26.02</v>
      </c>
      <c r="C188" s="105">
        <v>-7.6277650648359759E-3</v>
      </c>
      <c r="E188" s="149">
        <v>45327</v>
      </c>
      <c r="F188" s="150">
        <v>7855.4</v>
      </c>
      <c r="G188">
        <v>5.9547439460103215E-3</v>
      </c>
    </row>
    <row r="189" spans="1:7" x14ac:dyDescent="0.2">
      <c r="A189" t="s">
        <v>370</v>
      </c>
      <c r="B189">
        <v>26.63</v>
      </c>
      <c r="C189" s="105">
        <v>2.3443504996156782E-2</v>
      </c>
      <c r="E189" s="149">
        <v>45324</v>
      </c>
      <c r="F189" s="150">
        <v>7931.6</v>
      </c>
      <c r="G189">
        <v>9.7003335285282388E-3</v>
      </c>
    </row>
    <row r="190" spans="1:7" x14ac:dyDescent="0.2">
      <c r="A190" t="s">
        <v>371</v>
      </c>
      <c r="B190">
        <v>26.32</v>
      </c>
      <c r="C190" s="105">
        <v>-1.1641006383777647E-2</v>
      </c>
      <c r="E190" s="149">
        <v>45323</v>
      </c>
      <c r="F190" s="150">
        <v>7818.8</v>
      </c>
      <c r="G190">
        <v>-1.4221594634121763E-2</v>
      </c>
    </row>
    <row r="191" spans="1:7" x14ac:dyDescent="0.2">
      <c r="A191" t="s">
        <v>372</v>
      </c>
      <c r="B191">
        <v>27.05</v>
      </c>
      <c r="C191" s="105">
        <v>2.7735562310030409E-2</v>
      </c>
      <c r="E191" s="149">
        <v>45322</v>
      </c>
      <c r="F191" s="150">
        <v>7912.8</v>
      </c>
      <c r="G191">
        <v>1.2022305213076175E-2</v>
      </c>
    </row>
    <row r="192" spans="1:7" x14ac:dyDescent="0.2">
      <c r="A192" t="s">
        <v>373</v>
      </c>
      <c r="B192">
        <v>26.95</v>
      </c>
      <c r="C192" s="105">
        <v>-3.6968576709797197E-3</v>
      </c>
      <c r="E192" s="149">
        <v>45321</v>
      </c>
      <c r="F192" s="150">
        <v>7835</v>
      </c>
      <c r="G192">
        <v>-9.8321706601961611E-3</v>
      </c>
    </row>
    <row r="193" spans="1:7" x14ac:dyDescent="0.2">
      <c r="A193" t="s">
        <v>374</v>
      </c>
      <c r="B193">
        <v>26.92</v>
      </c>
      <c r="C193" s="105">
        <v>-1.1131725417438806E-3</v>
      </c>
      <c r="E193" s="149">
        <v>45320</v>
      </c>
      <c r="F193" s="150">
        <v>7808.3</v>
      </c>
      <c r="G193">
        <v>-3.4077855775366712E-3</v>
      </c>
    </row>
    <row r="194" spans="1:7" x14ac:dyDescent="0.2">
      <c r="A194" t="s">
        <v>375</v>
      </c>
      <c r="B194">
        <v>26.37</v>
      </c>
      <c r="C194" s="105">
        <v>-2.0430906389301659E-2</v>
      </c>
      <c r="E194" s="149">
        <v>45316</v>
      </c>
      <c r="F194" s="150">
        <v>7785.2</v>
      </c>
      <c r="G194">
        <v>-2.9583904306955885E-3</v>
      </c>
    </row>
    <row r="195" spans="1:7" x14ac:dyDescent="0.2">
      <c r="A195" t="s">
        <v>376</v>
      </c>
      <c r="B195">
        <v>26.12</v>
      </c>
      <c r="C195" s="105">
        <v>-9.4804702313234738E-3</v>
      </c>
      <c r="E195" s="149">
        <v>45315</v>
      </c>
      <c r="F195" s="150">
        <v>7748.1</v>
      </c>
      <c r="G195">
        <v>-4.7654523968555023E-3</v>
      </c>
    </row>
    <row r="196" spans="1:7" x14ac:dyDescent="0.2">
      <c r="A196" t="s">
        <v>377</v>
      </c>
      <c r="B196">
        <v>26.76</v>
      </c>
      <c r="C196" s="105">
        <v>2.4502297090352242E-2</v>
      </c>
      <c r="E196" s="149">
        <v>45314</v>
      </c>
      <c r="F196" s="150">
        <v>7742.1</v>
      </c>
      <c r="G196">
        <v>-7.7438339721996353E-4</v>
      </c>
    </row>
    <row r="197" spans="1:7" x14ac:dyDescent="0.2">
      <c r="A197" t="s">
        <v>378</v>
      </c>
      <c r="B197">
        <v>26.78</v>
      </c>
      <c r="C197" s="105">
        <v>7.4738415545588831E-4</v>
      </c>
      <c r="E197" s="149">
        <v>45313</v>
      </c>
      <c r="F197" s="150">
        <v>7702.3</v>
      </c>
      <c r="G197">
        <v>-5.1407240929463817E-3</v>
      </c>
    </row>
    <row r="198" spans="1:7" x14ac:dyDescent="0.2">
      <c r="A198" t="s">
        <v>379</v>
      </c>
      <c r="B198">
        <v>26.28</v>
      </c>
      <c r="C198" s="105">
        <v>-1.8670649738610903E-2</v>
      </c>
      <c r="E198" s="149">
        <v>45310</v>
      </c>
      <c r="F198" s="150">
        <v>7652.3</v>
      </c>
      <c r="G198">
        <v>-6.4915674538774133E-3</v>
      </c>
    </row>
    <row r="199" spans="1:7" x14ac:dyDescent="0.2">
      <c r="A199" t="s">
        <v>380</v>
      </c>
      <c r="B199">
        <v>25.86</v>
      </c>
      <c r="C199" s="105">
        <v>-1.5981735159817417E-2</v>
      </c>
      <c r="E199" s="149">
        <v>45309</v>
      </c>
      <c r="F199" s="150">
        <v>7674.3</v>
      </c>
      <c r="G199">
        <v>2.8749526286214601E-3</v>
      </c>
    </row>
    <row r="200" spans="1:7" x14ac:dyDescent="0.2">
      <c r="A200" t="s">
        <v>381</v>
      </c>
      <c r="B200">
        <v>25.78</v>
      </c>
      <c r="C200" s="105">
        <v>-3.0935808197988515E-3</v>
      </c>
      <c r="E200" s="149">
        <v>45308</v>
      </c>
      <c r="F200" s="150">
        <v>7622.5</v>
      </c>
      <c r="G200">
        <v>-6.7498012848077587E-3</v>
      </c>
    </row>
    <row r="201" spans="1:7" x14ac:dyDescent="0.2">
      <c r="A201" t="s">
        <v>382</v>
      </c>
      <c r="B201">
        <v>25.96</v>
      </c>
      <c r="C201" s="105">
        <v>6.9821567106283832E-3</v>
      </c>
      <c r="E201" s="149">
        <v>45307</v>
      </c>
      <c r="F201" s="150">
        <v>7647.1</v>
      </c>
      <c r="G201">
        <v>3.227287635290307E-3</v>
      </c>
    </row>
    <row r="202" spans="1:7" x14ac:dyDescent="0.2">
      <c r="A202" t="s">
        <v>383</v>
      </c>
      <c r="B202">
        <v>26.68</v>
      </c>
      <c r="C202" s="105">
        <v>2.7734976887519216E-2</v>
      </c>
      <c r="E202" s="149">
        <v>45306</v>
      </c>
      <c r="F202" s="150">
        <v>7730.1</v>
      </c>
      <c r="G202">
        <v>1.0853787710373868E-2</v>
      </c>
    </row>
    <row r="203" spans="1:7" x14ac:dyDescent="0.2">
      <c r="A203" t="s">
        <v>384</v>
      </c>
      <c r="B203">
        <v>26.31</v>
      </c>
      <c r="C203" s="105">
        <v>-1.386806596701653E-2</v>
      </c>
      <c r="E203" s="149">
        <v>45303</v>
      </c>
      <c r="F203" s="150">
        <v>7730.5</v>
      </c>
      <c r="G203">
        <v>5.1745773017119594E-5</v>
      </c>
    </row>
    <row r="204" spans="1:7" x14ac:dyDescent="0.2">
      <c r="A204" t="s">
        <v>385</v>
      </c>
      <c r="B204">
        <v>26.71</v>
      </c>
      <c r="C204" s="105">
        <v>1.5203344735841968E-2</v>
      </c>
      <c r="E204" s="149">
        <v>45302</v>
      </c>
      <c r="F204" s="150">
        <v>7736.8</v>
      </c>
      <c r="G204">
        <v>8.1495375460839301E-4</v>
      </c>
    </row>
    <row r="205" spans="1:7" x14ac:dyDescent="0.2">
      <c r="A205" t="s">
        <v>386</v>
      </c>
      <c r="B205">
        <v>26.33</v>
      </c>
      <c r="C205" s="105">
        <v>-1.4226881317858575E-2</v>
      </c>
      <c r="E205" s="149">
        <v>45301</v>
      </c>
      <c r="F205" s="150">
        <v>7702.7</v>
      </c>
      <c r="G205">
        <v>-4.4075069796298679E-3</v>
      </c>
    </row>
    <row r="206" spans="1:7" x14ac:dyDescent="0.2">
      <c r="A206" t="s">
        <v>387</v>
      </c>
      <c r="B206">
        <v>26.02</v>
      </c>
      <c r="C206" s="105">
        <v>-1.1773642233194027E-2</v>
      </c>
      <c r="E206" s="149">
        <v>45300</v>
      </c>
      <c r="F206" s="150">
        <v>7749.5</v>
      </c>
      <c r="G206">
        <v>6.0757916055409382E-3</v>
      </c>
    </row>
    <row r="207" spans="1:7" x14ac:dyDescent="0.2">
      <c r="A207" t="s">
        <v>388</v>
      </c>
      <c r="B207">
        <v>25.45</v>
      </c>
      <c r="C207" s="105">
        <v>-2.1906225980015383E-2</v>
      </c>
      <c r="E207" s="149">
        <v>45299</v>
      </c>
      <c r="F207" s="150">
        <v>7676.8</v>
      </c>
      <c r="G207">
        <v>-9.381250403251799E-3</v>
      </c>
    </row>
    <row r="208" spans="1:7" x14ac:dyDescent="0.2">
      <c r="A208" t="s">
        <v>389</v>
      </c>
      <c r="B208">
        <v>25.2</v>
      </c>
      <c r="C208" s="105">
        <v>-9.823182711198428E-3</v>
      </c>
      <c r="E208" s="149">
        <v>45296</v>
      </c>
      <c r="F208" s="150">
        <v>7718.4</v>
      </c>
      <c r="G208">
        <v>5.4189245518965522E-3</v>
      </c>
    </row>
    <row r="209" spans="1:7" x14ac:dyDescent="0.2">
      <c r="A209" t="s">
        <v>390</v>
      </c>
      <c r="B209">
        <v>25.43</v>
      </c>
      <c r="C209" s="105">
        <v>9.1269841269841449E-3</v>
      </c>
      <c r="E209" s="149">
        <v>45295</v>
      </c>
      <c r="F209" s="150">
        <v>7730.6</v>
      </c>
      <c r="G209">
        <v>1.580638474295285E-3</v>
      </c>
    </row>
    <row r="210" spans="1:7" x14ac:dyDescent="0.2">
      <c r="A210" t="s">
        <v>391</v>
      </c>
      <c r="B210">
        <v>26.02</v>
      </c>
      <c r="C210" s="105">
        <v>2.3200943767204083E-2</v>
      </c>
      <c r="E210" s="149">
        <v>45294</v>
      </c>
      <c r="F210" s="150">
        <v>7757.3</v>
      </c>
      <c r="G210">
        <v>3.4538069490078153E-3</v>
      </c>
    </row>
    <row r="211" spans="1:7" x14ac:dyDescent="0.2">
      <c r="A211" t="s">
        <v>392</v>
      </c>
      <c r="B211">
        <v>26.69</v>
      </c>
      <c r="C211" s="105">
        <v>2.5749423520369012E-2</v>
      </c>
      <c r="E211" s="149">
        <v>45293</v>
      </c>
      <c r="F211" s="150">
        <v>7867.4</v>
      </c>
      <c r="G211">
        <v>1.4193082644734567E-2</v>
      </c>
    </row>
    <row r="212" spans="1:7" x14ac:dyDescent="0.2">
      <c r="A212" t="s">
        <v>393</v>
      </c>
      <c r="B212">
        <v>26.94</v>
      </c>
      <c r="C212" s="105">
        <v>9.3668040464593479E-3</v>
      </c>
      <c r="E212" s="149">
        <v>45289</v>
      </c>
      <c r="F212" s="150">
        <v>7829.5</v>
      </c>
      <c r="G212">
        <v>-4.8173475353991968E-3</v>
      </c>
    </row>
    <row r="213" spans="1:7" x14ac:dyDescent="0.2">
      <c r="A213" t="s">
        <v>394</v>
      </c>
      <c r="B213">
        <v>27</v>
      </c>
      <c r="C213" s="105">
        <v>2.2271714922048524E-3</v>
      </c>
      <c r="E213" s="149">
        <v>45288</v>
      </c>
      <c r="F213" s="150">
        <v>7852.1</v>
      </c>
      <c r="G213">
        <v>2.8865189347979264E-3</v>
      </c>
    </row>
    <row r="214" spans="1:7" x14ac:dyDescent="0.2">
      <c r="A214" t="s">
        <v>395</v>
      </c>
      <c r="B214">
        <v>26.5</v>
      </c>
      <c r="C214" s="105">
        <v>-1.8518518518518517E-2</v>
      </c>
      <c r="E214" s="149">
        <v>45287</v>
      </c>
      <c r="F214" s="150">
        <v>7796.7</v>
      </c>
      <c r="G214">
        <v>-7.0554373989124624E-3</v>
      </c>
    </row>
    <row r="215" spans="1:7" x14ac:dyDescent="0.2">
      <c r="A215" t="s">
        <v>396</v>
      </c>
      <c r="B215">
        <v>26.2</v>
      </c>
      <c r="C215" s="105">
        <v>-1.1320754716981159E-2</v>
      </c>
      <c r="E215" s="149">
        <v>45282</v>
      </c>
      <c r="F215" s="150">
        <v>7730.2</v>
      </c>
      <c r="G215">
        <v>-8.5292495542986131E-3</v>
      </c>
    </row>
    <row r="216" spans="1:7" x14ac:dyDescent="0.2">
      <c r="A216" t="s">
        <v>397</v>
      </c>
      <c r="B216">
        <v>26.13</v>
      </c>
      <c r="C216" s="105">
        <v>-2.6717557251908506E-3</v>
      </c>
      <c r="E216" s="149">
        <v>45281</v>
      </c>
      <c r="F216" s="150">
        <v>7727.8</v>
      </c>
      <c r="G216">
        <v>-3.1047062171737292E-4</v>
      </c>
    </row>
    <row r="217" spans="1:7" x14ac:dyDescent="0.2">
      <c r="A217" t="s">
        <v>398</v>
      </c>
      <c r="B217">
        <v>26.53</v>
      </c>
      <c r="C217" s="105">
        <v>1.5308075009567629E-2</v>
      </c>
      <c r="E217" s="149">
        <v>45280</v>
      </c>
      <c r="F217" s="150">
        <v>7764</v>
      </c>
      <c r="G217">
        <v>4.6843862418799419E-3</v>
      </c>
    </row>
    <row r="218" spans="1:7" x14ac:dyDescent="0.2">
      <c r="A218" t="s">
        <v>399</v>
      </c>
      <c r="B218">
        <v>26.4</v>
      </c>
      <c r="C218" s="105">
        <v>-4.9001130795327009E-3</v>
      </c>
      <c r="E218" s="149">
        <v>45279</v>
      </c>
      <c r="F218" s="150">
        <v>7715.9</v>
      </c>
      <c r="G218">
        <v>-6.1952601751674866E-3</v>
      </c>
    </row>
    <row r="219" spans="1:7" x14ac:dyDescent="0.2">
      <c r="A219" t="s">
        <v>400</v>
      </c>
      <c r="B219">
        <v>26.29</v>
      </c>
      <c r="C219" s="105">
        <v>-4.1666666666666458E-3</v>
      </c>
      <c r="E219" s="149">
        <v>45278</v>
      </c>
      <c r="F219" s="150">
        <v>7649.6</v>
      </c>
      <c r="G219">
        <v>-8.5926463536333125E-3</v>
      </c>
    </row>
    <row r="220" spans="1:7" x14ac:dyDescent="0.2">
      <c r="A220" t="s">
        <v>401</v>
      </c>
      <c r="B220">
        <v>26.09</v>
      </c>
      <c r="C220" s="105">
        <v>-7.6074553062000496E-3</v>
      </c>
      <c r="E220" s="149">
        <v>45275</v>
      </c>
      <c r="F220" s="150">
        <v>7661.9</v>
      </c>
      <c r="G220">
        <v>1.6079272118802645E-3</v>
      </c>
    </row>
    <row r="221" spans="1:7" x14ac:dyDescent="0.2">
      <c r="A221" t="s">
        <v>402</v>
      </c>
      <c r="B221">
        <v>25.8</v>
      </c>
      <c r="C221" s="105">
        <v>-1.1115369873514724E-2</v>
      </c>
      <c r="E221" s="149">
        <v>45274</v>
      </c>
      <c r="F221" s="150">
        <v>7599.4</v>
      </c>
      <c r="G221">
        <v>-8.1572455918244823E-3</v>
      </c>
    </row>
    <row r="222" spans="1:7" x14ac:dyDescent="0.2">
      <c r="A222" t="s">
        <v>403</v>
      </c>
      <c r="B222">
        <v>24.88</v>
      </c>
      <c r="C222" s="105">
        <v>-3.5658914728682232E-2</v>
      </c>
      <c r="E222" s="149">
        <v>45273</v>
      </c>
      <c r="F222" s="150">
        <v>7469.1</v>
      </c>
      <c r="G222">
        <v>-1.7146090480827339E-2</v>
      </c>
    </row>
    <row r="223" spans="1:7" x14ac:dyDescent="0.2">
      <c r="A223" t="s">
        <v>404</v>
      </c>
      <c r="B223">
        <v>24.89</v>
      </c>
      <c r="C223" s="105">
        <v>4.019292604502236E-4</v>
      </c>
      <c r="E223" s="149">
        <v>45272</v>
      </c>
      <c r="F223" s="150">
        <v>7446.4</v>
      </c>
      <c r="G223">
        <v>-3.0391881217282841E-3</v>
      </c>
    </row>
    <row r="224" spans="1:7" x14ac:dyDescent="0.2">
      <c r="A224" t="s">
        <v>405</v>
      </c>
      <c r="B224">
        <v>24.61</v>
      </c>
      <c r="C224" s="105">
        <v>-1.1249497790277264E-2</v>
      </c>
      <c r="E224" s="149">
        <v>45271</v>
      </c>
      <c r="F224" s="150">
        <v>7410.2</v>
      </c>
      <c r="G224">
        <v>-4.861409540180466E-3</v>
      </c>
    </row>
    <row r="225" spans="1:7" x14ac:dyDescent="0.2">
      <c r="A225" t="s">
        <v>406</v>
      </c>
      <c r="B225">
        <v>24.47</v>
      </c>
      <c r="C225" s="105">
        <v>-5.6887444128403322E-3</v>
      </c>
      <c r="E225" s="149">
        <v>45268</v>
      </c>
      <c r="F225" s="150">
        <v>7405.6</v>
      </c>
      <c r="G225">
        <v>-6.2076597122877309E-4</v>
      </c>
    </row>
    <row r="226" spans="1:7" x14ac:dyDescent="0.2">
      <c r="A226" t="s">
        <v>407</v>
      </c>
      <c r="B226">
        <v>24.3</v>
      </c>
      <c r="C226" s="105">
        <v>-6.9472823865957562E-3</v>
      </c>
      <c r="E226" s="149">
        <v>45267</v>
      </c>
      <c r="F226" s="150">
        <v>7384.7</v>
      </c>
      <c r="G226">
        <v>-2.8221886140218947E-3</v>
      </c>
    </row>
    <row r="227" spans="1:7" x14ac:dyDescent="0.2">
      <c r="A227" t="s">
        <v>408</v>
      </c>
      <c r="B227">
        <v>23.95</v>
      </c>
      <c r="C227" s="105">
        <v>-1.4403292181070016E-2</v>
      </c>
      <c r="E227" s="149">
        <v>45266</v>
      </c>
      <c r="F227" s="150">
        <v>7386.7</v>
      </c>
      <c r="G227">
        <v>2.7083023007028043E-4</v>
      </c>
    </row>
    <row r="228" spans="1:7" x14ac:dyDescent="0.2">
      <c r="A228" t="s">
        <v>409</v>
      </c>
      <c r="B228">
        <v>23.73</v>
      </c>
      <c r="C228" s="105">
        <v>-9.1858037578287626E-3</v>
      </c>
      <c r="E228" s="149">
        <v>45265</v>
      </c>
      <c r="F228" s="150">
        <v>7269.8</v>
      </c>
      <c r="G228">
        <v>-1.5825740858570084E-2</v>
      </c>
    </row>
    <row r="229" spans="1:7" x14ac:dyDescent="0.2">
      <c r="A229" t="s">
        <v>410</v>
      </c>
      <c r="B229">
        <v>23.94</v>
      </c>
      <c r="C229" s="105">
        <v>8.8495575221239301E-3</v>
      </c>
      <c r="E229" s="149">
        <v>45264</v>
      </c>
      <c r="F229" s="150">
        <v>7336.1</v>
      </c>
      <c r="G229">
        <v>9.1199207681091892E-3</v>
      </c>
    </row>
    <row r="230" spans="1:7" x14ac:dyDescent="0.2">
      <c r="A230" t="s">
        <v>411</v>
      </c>
      <c r="B230">
        <v>23.53</v>
      </c>
      <c r="C230" s="105">
        <v>-1.712614870509608E-2</v>
      </c>
      <c r="E230" s="149">
        <v>45261</v>
      </c>
      <c r="F230" s="150">
        <v>7285.1</v>
      </c>
      <c r="G230">
        <v>-6.9519226837147802E-3</v>
      </c>
    </row>
    <row r="231" spans="1:7" x14ac:dyDescent="0.2">
      <c r="A231" t="s">
        <v>412</v>
      </c>
      <c r="B231">
        <v>23.51</v>
      </c>
      <c r="C231" s="105">
        <v>-8.4997875053121859E-4</v>
      </c>
      <c r="E231" s="149">
        <v>45260</v>
      </c>
      <c r="F231" s="150">
        <v>7297.7</v>
      </c>
      <c r="G231">
        <v>1.7295575901496827E-3</v>
      </c>
    </row>
    <row r="232" spans="1:7" x14ac:dyDescent="0.2">
      <c r="A232" t="s">
        <v>413</v>
      </c>
      <c r="B232">
        <v>23.6</v>
      </c>
      <c r="C232" s="105">
        <v>3.8281582305401893E-3</v>
      </c>
      <c r="E232" s="149">
        <v>45259</v>
      </c>
      <c r="F232" s="150">
        <v>7245.8</v>
      </c>
      <c r="G232">
        <v>-7.1118297545801606E-3</v>
      </c>
    </row>
    <row r="233" spans="1:7" x14ac:dyDescent="0.2">
      <c r="A233" t="s">
        <v>414</v>
      </c>
      <c r="B233">
        <v>23.12</v>
      </c>
      <c r="C233" s="105">
        <v>-2.0338983050847474E-2</v>
      </c>
      <c r="E233" s="149">
        <v>45258</v>
      </c>
      <c r="F233" s="150">
        <v>7223.1</v>
      </c>
      <c r="G233">
        <v>-3.1328493748102098E-3</v>
      </c>
    </row>
    <row r="234" spans="1:7" x14ac:dyDescent="0.2">
      <c r="A234" t="s">
        <v>415</v>
      </c>
      <c r="B234">
        <v>22.93</v>
      </c>
      <c r="C234" s="105">
        <v>-8.2179930795848299E-3</v>
      </c>
      <c r="E234" s="149">
        <v>45257</v>
      </c>
      <c r="F234" s="150">
        <v>7192.8</v>
      </c>
      <c r="G234">
        <v>-4.1948747767579266E-3</v>
      </c>
    </row>
    <row r="235" spans="1:7" x14ac:dyDescent="0.2">
      <c r="A235" t="s">
        <v>416</v>
      </c>
      <c r="B235">
        <v>23.03</v>
      </c>
      <c r="C235" s="105">
        <v>4.3610989969472928E-3</v>
      </c>
      <c r="E235" s="149">
        <v>45254</v>
      </c>
      <c r="F235" s="150">
        <v>7244.1</v>
      </c>
      <c r="G235">
        <v>7.132132132132157E-3</v>
      </c>
    </row>
    <row r="236" spans="1:7" x14ac:dyDescent="0.2">
      <c r="A236" t="s">
        <v>417</v>
      </c>
      <c r="B236">
        <v>23.27</v>
      </c>
      <c r="C236" s="105">
        <v>1.0421189752496675E-2</v>
      </c>
      <c r="E236" s="149">
        <v>45253</v>
      </c>
      <c r="F236" s="150">
        <v>7234.2</v>
      </c>
      <c r="G236">
        <v>-1.3666293949559703E-3</v>
      </c>
    </row>
    <row r="237" spans="1:7" x14ac:dyDescent="0.2">
      <c r="A237" t="s">
        <v>418</v>
      </c>
      <c r="B237">
        <v>23.73</v>
      </c>
      <c r="C237" s="105">
        <v>1.9767941555651088E-2</v>
      </c>
      <c r="E237" s="149">
        <v>45252</v>
      </c>
      <c r="F237" s="150">
        <v>7277.8</v>
      </c>
      <c r="G237">
        <v>6.0269276492218027E-3</v>
      </c>
    </row>
    <row r="238" spans="1:7" x14ac:dyDescent="0.2">
      <c r="A238" t="s">
        <v>419</v>
      </c>
      <c r="B238">
        <v>23.92</v>
      </c>
      <c r="C238" s="105">
        <v>8.0067425200169105E-3</v>
      </c>
      <c r="E238" s="149">
        <v>45251</v>
      </c>
      <c r="F238" s="150">
        <v>7289.3</v>
      </c>
      <c r="G238">
        <v>1.5801478468768033E-3</v>
      </c>
    </row>
    <row r="239" spans="1:7" x14ac:dyDescent="0.2">
      <c r="A239" t="s">
        <v>420</v>
      </c>
      <c r="B239">
        <v>24</v>
      </c>
      <c r="C239" s="105">
        <v>3.344481605351099E-3</v>
      </c>
      <c r="E239" s="149">
        <v>45250</v>
      </c>
      <c r="F239" s="150">
        <v>7268.7</v>
      </c>
      <c r="G239">
        <v>-2.8260601155118276E-3</v>
      </c>
    </row>
    <row r="240" spans="1:7" x14ac:dyDescent="0.2">
      <c r="A240" t="s">
        <v>421</v>
      </c>
      <c r="B240">
        <v>23.56</v>
      </c>
      <c r="C240" s="105">
        <v>-1.8333333333333385E-2</v>
      </c>
      <c r="E240" s="149">
        <v>45247</v>
      </c>
      <c r="F240" s="150">
        <v>7261</v>
      </c>
      <c r="G240">
        <v>-1.0593366076464593E-3</v>
      </c>
    </row>
    <row r="241" spans="1:7" x14ac:dyDescent="0.2">
      <c r="A241" t="s">
        <v>422</v>
      </c>
      <c r="B241">
        <v>23.67</v>
      </c>
      <c r="C241" s="105">
        <v>4.6689303904924873E-3</v>
      </c>
      <c r="E241" s="149">
        <v>45246</v>
      </c>
      <c r="F241" s="150">
        <v>7269.5</v>
      </c>
      <c r="G241">
        <v>1.1706376532158104E-3</v>
      </c>
    </row>
    <row r="242" spans="1:7" x14ac:dyDescent="0.2">
      <c r="A242" t="s">
        <v>423</v>
      </c>
      <c r="B242">
        <v>23.94</v>
      </c>
      <c r="C242" s="105">
        <v>1.140684410646386E-2</v>
      </c>
      <c r="E242" s="149">
        <v>45245</v>
      </c>
      <c r="F242" s="150">
        <v>7316.7</v>
      </c>
      <c r="G242">
        <v>6.4928812160395923E-3</v>
      </c>
    </row>
    <row r="243" spans="1:7" x14ac:dyDescent="0.2">
      <c r="A243" t="s">
        <v>424</v>
      </c>
      <c r="B243">
        <v>23.25</v>
      </c>
      <c r="C243" s="105">
        <v>-2.8822055137844662E-2</v>
      </c>
      <c r="E243" s="149">
        <v>45244</v>
      </c>
      <c r="F243" s="150">
        <v>7207.1</v>
      </c>
      <c r="G243">
        <v>-1.4979430617628091E-2</v>
      </c>
    </row>
    <row r="244" spans="1:7" x14ac:dyDescent="0.2">
      <c r="A244" t="s">
        <v>425</v>
      </c>
      <c r="B244">
        <v>23.32</v>
      </c>
      <c r="C244" s="105">
        <v>3.0107526881720552E-3</v>
      </c>
      <c r="E244" s="149">
        <v>45243</v>
      </c>
      <c r="F244" s="150">
        <v>7145</v>
      </c>
      <c r="G244">
        <v>-8.6165031704847107E-3</v>
      </c>
    </row>
    <row r="245" spans="1:7" x14ac:dyDescent="0.2">
      <c r="A245" t="s">
        <v>426</v>
      </c>
      <c r="B245">
        <v>23.43</v>
      </c>
      <c r="C245" s="105">
        <v>4.7169811320754472E-3</v>
      </c>
      <c r="E245" s="149">
        <v>45240</v>
      </c>
      <c r="F245" s="150">
        <v>7176.6</v>
      </c>
      <c r="G245">
        <v>4.4226731980406388E-3</v>
      </c>
    </row>
    <row r="246" spans="1:7" x14ac:dyDescent="0.2">
      <c r="A246" t="s">
        <v>427</v>
      </c>
      <c r="B246">
        <v>22.69</v>
      </c>
      <c r="C246" s="105">
        <v>-3.1583440034144192E-2</v>
      </c>
      <c r="E246" s="149">
        <v>45239</v>
      </c>
      <c r="F246" s="150">
        <v>7215.1</v>
      </c>
      <c r="G246">
        <v>5.3646573586377949E-3</v>
      </c>
    </row>
    <row r="247" spans="1:7" x14ac:dyDescent="0.2">
      <c r="A247" t="s">
        <v>428</v>
      </c>
      <c r="B247">
        <v>22.89</v>
      </c>
      <c r="C247" s="105">
        <v>8.8144557073600392E-3</v>
      </c>
      <c r="E247" s="149">
        <v>45238</v>
      </c>
      <c r="F247" s="150">
        <v>7198.4</v>
      </c>
      <c r="G247">
        <v>-2.3145902343696869E-3</v>
      </c>
    </row>
    <row r="248" spans="1:7" x14ac:dyDescent="0.2">
      <c r="A248" t="s">
        <v>429</v>
      </c>
      <c r="B248">
        <v>22.45</v>
      </c>
      <c r="C248" s="105">
        <v>-1.9222367846221111E-2</v>
      </c>
      <c r="E248" s="149">
        <v>45237</v>
      </c>
      <c r="F248" s="150">
        <v>7176.6</v>
      </c>
      <c r="G248">
        <v>-3.0284507668369739E-3</v>
      </c>
    </row>
    <row r="249" spans="1:7" x14ac:dyDescent="0.2">
      <c r="A249" t="s">
        <v>430</v>
      </c>
      <c r="B249">
        <v>22.21</v>
      </c>
      <c r="C249" s="105">
        <v>-1.0690423162583449E-2</v>
      </c>
      <c r="E249" s="149">
        <v>45236</v>
      </c>
      <c r="F249" s="150">
        <v>7192.3</v>
      </c>
      <c r="G249">
        <v>2.1876654683275947E-3</v>
      </c>
    </row>
    <row r="250" spans="1:7" x14ac:dyDescent="0.2">
      <c r="A250" t="s">
        <v>431</v>
      </c>
      <c r="B250">
        <v>22.21</v>
      </c>
      <c r="C250" s="105">
        <v>0</v>
      </c>
      <c r="E250" s="149">
        <v>45233</v>
      </c>
      <c r="F250" s="150">
        <v>7175.1</v>
      </c>
      <c r="G250">
        <v>-2.3914464079640473E-3</v>
      </c>
    </row>
    <row r="251" spans="1:7" x14ac:dyDescent="0.2">
      <c r="A251" t="s">
        <v>432</v>
      </c>
      <c r="B251">
        <v>21.52</v>
      </c>
      <c r="C251" s="105">
        <v>-3.1067086897793843E-2</v>
      </c>
      <c r="E251" s="149">
        <v>45232</v>
      </c>
      <c r="F251" s="150">
        <v>7095</v>
      </c>
      <c r="G251">
        <v>-1.1163607475854044E-2</v>
      </c>
    </row>
    <row r="252" spans="1:7" x14ac:dyDescent="0.2">
      <c r="A252" t="s">
        <v>433</v>
      </c>
      <c r="B252">
        <v>21.35</v>
      </c>
      <c r="C252" s="105">
        <v>-7.8996282527880185E-3</v>
      </c>
      <c r="E252" s="149">
        <v>45231</v>
      </c>
      <c r="F252" s="150">
        <v>7024.6</v>
      </c>
      <c r="G252">
        <v>-9.9224806201549873E-3</v>
      </c>
    </row>
    <row r="253" spans="1:7" x14ac:dyDescent="0.2">
      <c r="A253" t="s">
        <v>434</v>
      </c>
      <c r="B253">
        <v>20.98</v>
      </c>
      <c r="C253" s="105">
        <v>-1.7330210772833768E-2</v>
      </c>
      <c r="E253" s="149">
        <v>45230</v>
      </c>
      <c r="F253" s="150">
        <v>6967.5</v>
      </c>
      <c r="G253">
        <v>-8.1285767161120015E-3</v>
      </c>
    </row>
    <row r="254" spans="1:7" x14ac:dyDescent="0.2">
      <c r="A254" t="s">
        <v>435</v>
      </c>
      <c r="B254">
        <v>20.94</v>
      </c>
      <c r="C254" s="105">
        <v>-1.9065776930409508E-3</v>
      </c>
      <c r="E254" s="149">
        <v>45229</v>
      </c>
      <c r="F254" s="150">
        <v>6960.2</v>
      </c>
      <c r="G254">
        <v>-1.0477215644061977E-3</v>
      </c>
    </row>
    <row r="255" spans="1:7" x14ac:dyDescent="0.2">
      <c r="A255" t="s">
        <v>436</v>
      </c>
      <c r="B255">
        <v>21.36</v>
      </c>
      <c r="C255" s="105">
        <v>2.0057306590257791E-2</v>
      </c>
      <c r="E255" s="149">
        <v>45226</v>
      </c>
      <c r="F255" s="150">
        <v>7014.2</v>
      </c>
      <c r="G255">
        <v>7.7583977471911729E-3</v>
      </c>
    </row>
    <row r="256" spans="1:7" x14ac:dyDescent="0.2">
      <c r="A256" t="s">
        <v>437</v>
      </c>
      <c r="B256">
        <v>21.58</v>
      </c>
      <c r="C256" s="105">
        <v>1.0299625468164741E-2</v>
      </c>
      <c r="E256" s="149">
        <v>45225</v>
      </c>
      <c r="F256" s="150">
        <v>7001.1</v>
      </c>
      <c r="G256">
        <v>-1.8676399304267707E-3</v>
      </c>
    </row>
    <row r="257" spans="1:7" x14ac:dyDescent="0.2">
      <c r="A257" t="s">
        <v>438</v>
      </c>
      <c r="B257">
        <v>21.42</v>
      </c>
      <c r="C257" s="105">
        <v>-7.4142724745132806E-3</v>
      </c>
      <c r="E257" s="149">
        <v>45224</v>
      </c>
      <c r="F257" s="150">
        <v>7046.3</v>
      </c>
      <c r="G257">
        <v>6.4561283226921224E-3</v>
      </c>
    </row>
    <row r="258" spans="1:7" x14ac:dyDescent="0.2">
      <c r="A258" t="s">
        <v>439</v>
      </c>
      <c r="B258">
        <v>21.34</v>
      </c>
      <c r="C258" s="105">
        <v>-3.734827264239115E-3</v>
      </c>
      <c r="E258" s="149">
        <v>45223</v>
      </c>
      <c r="F258" s="150">
        <v>7045.6</v>
      </c>
      <c r="G258">
        <v>-9.9342917559544456E-5</v>
      </c>
    </row>
    <row r="259" spans="1:7" x14ac:dyDescent="0.2">
      <c r="A259" t="s">
        <v>440</v>
      </c>
      <c r="B259">
        <v>21.7</v>
      </c>
      <c r="C259" s="105">
        <v>1.6869728209934369E-2</v>
      </c>
      <c r="E259" s="149">
        <v>45222</v>
      </c>
      <c r="F259" s="150">
        <v>7030</v>
      </c>
      <c r="G259">
        <v>-2.2141478369479338E-3</v>
      </c>
    </row>
    <row r="260" spans="1:7" x14ac:dyDescent="0.2">
      <c r="A260" t="s">
        <v>441</v>
      </c>
      <c r="B260">
        <v>21.49</v>
      </c>
      <c r="C260" s="105">
        <v>-9.67741935483875E-3</v>
      </c>
      <c r="E260" s="149">
        <v>45219</v>
      </c>
      <c r="F260" s="150">
        <v>7089.7</v>
      </c>
      <c r="G260">
        <v>8.4921763869132035E-3</v>
      </c>
    </row>
    <row r="261" spans="1:7" x14ac:dyDescent="0.2">
      <c r="A261" t="s">
        <v>442</v>
      </c>
      <c r="B261">
        <v>21.67</v>
      </c>
      <c r="C261" s="105">
        <v>8.3759888320150428E-3</v>
      </c>
      <c r="E261" s="149">
        <v>45218</v>
      </c>
      <c r="F261" s="150">
        <v>7172.7</v>
      </c>
      <c r="G261">
        <v>1.1707124419933143E-2</v>
      </c>
    </row>
    <row r="262" spans="1:7" x14ac:dyDescent="0.2">
      <c r="A262" t="s">
        <v>443</v>
      </c>
      <c r="B262">
        <v>22.01</v>
      </c>
      <c r="C262" s="105">
        <v>1.5689893862482686E-2</v>
      </c>
      <c r="E262" s="149">
        <v>45217</v>
      </c>
      <c r="F262" s="150">
        <v>7265.7</v>
      </c>
      <c r="G262">
        <v>1.2965828767409763E-2</v>
      </c>
    </row>
    <row r="263" spans="1:7" x14ac:dyDescent="0.2">
      <c r="A263" t="s">
        <v>444</v>
      </c>
      <c r="B263">
        <v>22.17</v>
      </c>
      <c r="C263" s="105">
        <v>7.2694229895502102E-3</v>
      </c>
      <c r="E263" s="149">
        <v>45216</v>
      </c>
      <c r="F263" s="150">
        <v>7244.4</v>
      </c>
      <c r="G263">
        <v>-2.9315826417275945E-3</v>
      </c>
    </row>
    <row r="264" spans="1:7" x14ac:dyDescent="0.2">
      <c r="A264" t="s">
        <v>445</v>
      </c>
      <c r="B264">
        <v>21.89</v>
      </c>
      <c r="C264" s="105">
        <v>-1.2629679747406456E-2</v>
      </c>
      <c r="E264" s="149">
        <v>45215</v>
      </c>
      <c r="F264" s="150">
        <v>7214.6</v>
      </c>
      <c r="G264">
        <v>-4.1135221688475615E-3</v>
      </c>
    </row>
    <row r="265" spans="1:7" x14ac:dyDescent="0.2">
      <c r="A265" t="s">
        <v>446</v>
      </c>
      <c r="B265">
        <v>22.36</v>
      </c>
      <c r="C265" s="105">
        <v>2.1470991320237498E-2</v>
      </c>
      <c r="E265" s="149">
        <v>45212</v>
      </c>
      <c r="F265" s="150">
        <v>7243.5</v>
      </c>
      <c r="G265">
        <v>4.0057660854378114E-3</v>
      </c>
    </row>
    <row r="266" spans="1:7" x14ac:dyDescent="0.2">
      <c r="A266" t="s">
        <v>447</v>
      </c>
      <c r="B266">
        <v>22.74</v>
      </c>
      <c r="C266" s="105">
        <v>1.6994633273702996E-2</v>
      </c>
      <c r="E266" s="149">
        <v>45211</v>
      </c>
      <c r="F266" s="150">
        <v>7287.4</v>
      </c>
      <c r="G266">
        <v>6.0606060606060103E-3</v>
      </c>
    </row>
    <row r="267" spans="1:7" x14ac:dyDescent="0.2">
      <c r="A267" t="s">
        <v>448</v>
      </c>
      <c r="B267">
        <v>22</v>
      </c>
      <c r="C267" s="105">
        <v>-3.2541776605101075E-2</v>
      </c>
      <c r="E267" s="149">
        <v>45210</v>
      </c>
      <c r="F267" s="150">
        <v>7281.3</v>
      </c>
      <c r="G267">
        <v>-8.3706122897047707E-4</v>
      </c>
    </row>
    <row r="268" spans="1:7" x14ac:dyDescent="0.2">
      <c r="A268" t="s">
        <v>449</v>
      </c>
      <c r="B268">
        <v>21.57</v>
      </c>
      <c r="C268" s="105">
        <v>-1.9545454545454533E-2</v>
      </c>
      <c r="E268" s="149">
        <v>45209</v>
      </c>
      <c r="F268" s="150">
        <v>7231</v>
      </c>
      <c r="G268">
        <v>-6.9081070687926852E-3</v>
      </c>
    </row>
    <row r="269" spans="1:7" x14ac:dyDescent="0.2">
      <c r="A269" t="s">
        <v>450</v>
      </c>
      <c r="B269">
        <v>21.37</v>
      </c>
      <c r="C269" s="105">
        <v>-9.2721372276309364E-3</v>
      </c>
      <c r="E269" s="149">
        <v>45208</v>
      </c>
      <c r="F269" s="150">
        <v>7157</v>
      </c>
      <c r="G269">
        <v>-1.023371594523579E-2</v>
      </c>
    </row>
    <row r="270" spans="1:7" x14ac:dyDescent="0.2">
      <c r="A270" t="s">
        <v>451</v>
      </c>
      <c r="B270">
        <v>21.71</v>
      </c>
      <c r="C270" s="105">
        <v>1.5910154422087031E-2</v>
      </c>
      <c r="E270" s="149">
        <v>45205</v>
      </c>
      <c r="F270" s="150">
        <v>7143</v>
      </c>
      <c r="G270">
        <v>-1.9561268687997764E-3</v>
      </c>
    </row>
    <row r="271" spans="1:7" x14ac:dyDescent="0.2">
      <c r="A271" t="s">
        <v>452</v>
      </c>
      <c r="B271">
        <v>21.31</v>
      </c>
      <c r="C271" s="105">
        <v>-1.8424689083371814E-2</v>
      </c>
      <c r="E271" s="149">
        <v>45204</v>
      </c>
      <c r="F271" s="150">
        <v>7117.5</v>
      </c>
      <c r="G271">
        <v>-3.5699286014279717E-3</v>
      </c>
    </row>
    <row r="272" spans="1:7" x14ac:dyDescent="0.2">
      <c r="A272" t="s">
        <v>453</v>
      </c>
      <c r="B272">
        <v>21.33</v>
      </c>
      <c r="C272" s="105">
        <v>9.3852651337398283E-4</v>
      </c>
      <c r="E272" s="149">
        <v>45203</v>
      </c>
      <c r="F272" s="150">
        <v>7082.2</v>
      </c>
      <c r="G272">
        <v>-4.959606603442245E-3</v>
      </c>
    </row>
    <row r="273" spans="1:7" x14ac:dyDescent="0.2">
      <c r="A273" t="s">
        <v>454</v>
      </c>
      <c r="B273">
        <v>21.37</v>
      </c>
      <c r="C273" s="105">
        <v>1.8752930145336476E-3</v>
      </c>
      <c r="E273" s="149">
        <v>45202</v>
      </c>
      <c r="F273" s="150">
        <v>7141</v>
      </c>
      <c r="G273">
        <v>8.3025048713676799E-3</v>
      </c>
    </row>
    <row r="274" spans="1:7" x14ac:dyDescent="0.2">
      <c r="A274" t="s">
        <v>455</v>
      </c>
      <c r="B274">
        <v>21.59</v>
      </c>
      <c r="C274" s="105">
        <v>1.0294805802526853E-2</v>
      </c>
      <c r="E274" s="149">
        <v>45201</v>
      </c>
      <c r="F274" s="150">
        <v>7235.5</v>
      </c>
      <c r="G274">
        <v>1.3233440694580592E-2</v>
      </c>
    </row>
    <row r="275" spans="1:7" x14ac:dyDescent="0.2">
      <c r="A275" t="s">
        <v>456</v>
      </c>
      <c r="B275">
        <v>21.77</v>
      </c>
      <c r="C275" s="105">
        <v>8.337193144974513E-3</v>
      </c>
      <c r="E275" s="149">
        <v>45198</v>
      </c>
      <c r="F275" s="150">
        <v>7249.7</v>
      </c>
      <c r="G275">
        <v>1.9625457812175824E-3</v>
      </c>
    </row>
    <row r="276" spans="1:7" x14ac:dyDescent="0.2">
      <c r="A276" t="s">
        <v>457</v>
      </c>
      <c r="B276">
        <v>21.67</v>
      </c>
      <c r="C276" s="105">
        <v>-4.5934772622874542E-3</v>
      </c>
      <c r="E276" s="149">
        <v>45197</v>
      </c>
      <c r="F276" s="150">
        <v>7222.5</v>
      </c>
      <c r="G276">
        <v>-3.7518793881125864E-3</v>
      </c>
    </row>
    <row r="277" spans="1:7" x14ac:dyDescent="0.2">
      <c r="A277" t="s">
        <v>458</v>
      </c>
      <c r="B277">
        <v>21.9</v>
      </c>
      <c r="C277" s="105">
        <v>1.0613751730502854E-2</v>
      </c>
      <c r="E277" s="149">
        <v>45196</v>
      </c>
      <c r="F277" s="150">
        <v>7229.8</v>
      </c>
      <c r="G277">
        <v>1.0107303565247742E-3</v>
      </c>
    </row>
    <row r="278" spans="1:7" x14ac:dyDescent="0.2">
      <c r="A278" t="s">
        <v>459</v>
      </c>
      <c r="B278">
        <v>21.87</v>
      </c>
      <c r="C278" s="105">
        <v>-1.36986301369852E-3</v>
      </c>
      <c r="E278" s="149">
        <v>45195</v>
      </c>
      <c r="F278" s="150">
        <v>7238.3</v>
      </c>
      <c r="G278">
        <v>1.1756895073169382E-3</v>
      </c>
    </row>
    <row r="279" spans="1:7" x14ac:dyDescent="0.2">
      <c r="A279" t="s">
        <v>460</v>
      </c>
      <c r="B279">
        <v>22.23</v>
      </c>
      <c r="C279" s="105">
        <v>1.6460905349794212E-2</v>
      </c>
      <c r="E279" s="149">
        <v>45194</v>
      </c>
      <c r="F279" s="150">
        <v>7278.6</v>
      </c>
      <c r="G279">
        <v>5.5676056532611498E-3</v>
      </c>
    </row>
    <row r="280" spans="1:7" x14ac:dyDescent="0.2">
      <c r="A280" t="s">
        <v>461</v>
      </c>
      <c r="B280">
        <v>22.01</v>
      </c>
      <c r="C280" s="105">
        <v>-9.8965362123256354E-3</v>
      </c>
      <c r="E280" s="149">
        <v>45191</v>
      </c>
      <c r="F280" s="150">
        <v>7270</v>
      </c>
      <c r="G280">
        <v>-1.1815459016844398E-3</v>
      </c>
    </row>
    <row r="281" spans="1:7" x14ac:dyDescent="0.2">
      <c r="A281" t="s">
        <v>462</v>
      </c>
      <c r="B281">
        <v>22.19</v>
      </c>
      <c r="C281" s="105">
        <v>8.1781008632439665E-3</v>
      </c>
      <c r="E281" s="149">
        <v>45190</v>
      </c>
      <c r="F281" s="150">
        <v>7266.6</v>
      </c>
      <c r="G281">
        <v>-4.6767537826680001E-4</v>
      </c>
    </row>
    <row r="282" spans="1:7" x14ac:dyDescent="0.2">
      <c r="A282" t="s">
        <v>463</v>
      </c>
      <c r="B282">
        <v>22.24</v>
      </c>
      <c r="C282" s="105">
        <v>2.2532672374942385E-3</v>
      </c>
      <c r="E282" s="149">
        <v>45189</v>
      </c>
      <c r="F282" s="150">
        <v>7361.9</v>
      </c>
      <c r="G282">
        <v>1.3114799218341352E-2</v>
      </c>
    </row>
    <row r="283" spans="1:7" x14ac:dyDescent="0.2">
      <c r="A283" t="s">
        <v>464</v>
      </c>
      <c r="B283">
        <v>22.29</v>
      </c>
      <c r="C283" s="105">
        <v>2.2482014388489529E-3</v>
      </c>
      <c r="E283" s="149">
        <v>45188</v>
      </c>
      <c r="F283" s="150">
        <v>7395</v>
      </c>
      <c r="G283">
        <v>4.4961219250465728E-3</v>
      </c>
    </row>
    <row r="284" spans="1:7" x14ac:dyDescent="0.2">
      <c r="A284" t="s">
        <v>465</v>
      </c>
      <c r="B284">
        <v>22.34</v>
      </c>
      <c r="C284" s="105">
        <v>2.2431583669807408E-3</v>
      </c>
      <c r="E284" s="149">
        <v>45187</v>
      </c>
      <c r="F284" s="150">
        <v>7428.1</v>
      </c>
      <c r="G284">
        <v>4.4759972954699617E-3</v>
      </c>
    </row>
    <row r="285" spans="1:7" x14ac:dyDescent="0.2">
      <c r="A285" t="s">
        <v>466</v>
      </c>
      <c r="B285">
        <v>22.49</v>
      </c>
      <c r="C285" s="105">
        <v>6.7144136078781816E-3</v>
      </c>
      <c r="E285" s="149">
        <v>45184</v>
      </c>
      <c r="F285" s="150">
        <v>7482.6</v>
      </c>
      <c r="G285">
        <v>7.3370040791050197E-3</v>
      </c>
    </row>
    <row r="286" spans="1:7" x14ac:dyDescent="0.2">
      <c r="A286" t="s">
        <v>467</v>
      </c>
      <c r="B286">
        <v>22.15</v>
      </c>
      <c r="C286" s="105">
        <v>-1.5117830146731875E-2</v>
      </c>
      <c r="E286" s="149">
        <v>45183</v>
      </c>
      <c r="F286" s="150">
        <v>7382.7</v>
      </c>
      <c r="G286">
        <v>-1.3350974260283931E-2</v>
      </c>
    </row>
    <row r="287" spans="1:7" x14ac:dyDescent="0.2">
      <c r="A287" t="s">
        <v>468</v>
      </c>
      <c r="B287">
        <v>22.25</v>
      </c>
      <c r="C287" s="105">
        <v>4.514672686230313E-3</v>
      </c>
      <c r="E287" s="149">
        <v>45182</v>
      </c>
      <c r="F287" s="150">
        <v>7345.7</v>
      </c>
      <c r="G287">
        <v>-5.0117165806547745E-3</v>
      </c>
    </row>
    <row r="288" spans="1:7" x14ac:dyDescent="0.2">
      <c r="A288" t="s">
        <v>469</v>
      </c>
      <c r="B288">
        <v>22.65</v>
      </c>
      <c r="C288" s="105">
        <v>1.7977528089887576E-2</v>
      </c>
      <c r="E288" s="149">
        <v>45181</v>
      </c>
      <c r="F288" s="150">
        <v>7402.9</v>
      </c>
      <c r="G288">
        <v>7.7868685081067587E-3</v>
      </c>
    </row>
    <row r="289" spans="1:7" x14ac:dyDescent="0.2">
      <c r="A289" t="s">
        <v>470</v>
      </c>
      <c r="B289">
        <v>22.77</v>
      </c>
      <c r="C289" s="105">
        <v>5.2980132450331568E-3</v>
      </c>
      <c r="E289" s="149">
        <v>45180</v>
      </c>
      <c r="F289" s="150">
        <v>7387.8</v>
      </c>
      <c r="G289">
        <v>-2.0397411825094835E-3</v>
      </c>
    </row>
    <row r="290" spans="1:7" x14ac:dyDescent="0.2">
      <c r="A290" t="s">
        <v>471</v>
      </c>
      <c r="B290">
        <v>23.07</v>
      </c>
      <c r="C290" s="105">
        <v>1.3175230566534945E-2</v>
      </c>
      <c r="E290" s="149">
        <v>45177</v>
      </c>
      <c r="F290" s="150">
        <v>7358.1</v>
      </c>
      <c r="G290">
        <v>-4.0201413140582877E-3</v>
      </c>
    </row>
    <row r="291" spans="1:7" x14ac:dyDescent="0.2">
      <c r="A291" t="s">
        <v>472</v>
      </c>
      <c r="B291">
        <v>22.8</v>
      </c>
      <c r="C291" s="105">
        <v>-1.1703511053315976E-2</v>
      </c>
      <c r="E291" s="149">
        <v>45176</v>
      </c>
      <c r="F291" s="150">
        <v>7374.9</v>
      </c>
      <c r="G291">
        <v>2.283198108207183E-3</v>
      </c>
    </row>
    <row r="292" spans="1:7" x14ac:dyDescent="0.2">
      <c r="A292" t="s">
        <v>473</v>
      </c>
      <c r="B292">
        <v>23.22</v>
      </c>
      <c r="C292" s="105">
        <v>1.8421052631578866E-2</v>
      </c>
      <c r="E292" s="149">
        <v>45175</v>
      </c>
      <c r="F292" s="150">
        <v>7461.6</v>
      </c>
      <c r="G292">
        <v>1.1756091608021903E-2</v>
      </c>
    </row>
    <row r="293" spans="1:7" x14ac:dyDescent="0.2">
      <c r="A293" t="s">
        <v>474</v>
      </c>
      <c r="B293">
        <v>23.63</v>
      </c>
      <c r="C293" s="105">
        <v>1.7657192075796736E-2</v>
      </c>
      <c r="E293" s="149">
        <v>45174</v>
      </c>
      <c r="F293" s="150">
        <v>7516.8</v>
      </c>
      <c r="G293">
        <v>7.3978771309102355E-3</v>
      </c>
    </row>
    <row r="294" spans="1:7" x14ac:dyDescent="0.2">
      <c r="A294" t="s">
        <v>475</v>
      </c>
      <c r="B294">
        <v>23.86</v>
      </c>
      <c r="C294" s="105">
        <v>9.7333897587812291E-3</v>
      </c>
      <c r="E294" s="149">
        <v>45173</v>
      </c>
      <c r="F294" s="150">
        <v>7525.7</v>
      </c>
      <c r="G294">
        <v>1.1840144742443109E-3</v>
      </c>
    </row>
    <row r="295" spans="1:7" x14ac:dyDescent="0.2">
      <c r="A295" t="s">
        <v>476</v>
      </c>
      <c r="B295">
        <v>24.12</v>
      </c>
      <c r="C295" s="105">
        <v>1.0896898575021021E-2</v>
      </c>
      <c r="E295" s="149">
        <v>45170</v>
      </c>
      <c r="F295" s="150">
        <v>7489.9</v>
      </c>
      <c r="G295">
        <v>-4.7570325683989776E-3</v>
      </c>
    </row>
    <row r="296" spans="1:7" x14ac:dyDescent="0.2">
      <c r="A296" t="s">
        <v>477</v>
      </c>
      <c r="B296">
        <v>24.19</v>
      </c>
      <c r="C296" s="105">
        <v>2.9021558872305256E-3</v>
      </c>
      <c r="E296" s="149">
        <v>45169</v>
      </c>
      <c r="F296" s="150">
        <v>7517.8</v>
      </c>
      <c r="G296">
        <v>3.7250163553586226E-3</v>
      </c>
    </row>
    <row r="297" spans="1:7" x14ac:dyDescent="0.2">
      <c r="A297" t="s">
        <v>478</v>
      </c>
      <c r="B297">
        <v>23.99</v>
      </c>
      <c r="C297" s="105">
        <v>-8.2678792889624986E-3</v>
      </c>
      <c r="E297" s="149">
        <v>45168</v>
      </c>
      <c r="F297" s="150">
        <v>7506.8</v>
      </c>
      <c r="G297">
        <v>-1.4631940195269893E-3</v>
      </c>
    </row>
    <row r="298" spans="1:7" x14ac:dyDescent="0.2">
      <c r="A298" t="s">
        <v>479</v>
      </c>
      <c r="B298">
        <v>24.07</v>
      </c>
      <c r="C298" s="105">
        <v>3.3347228011672302E-3</v>
      </c>
      <c r="E298" s="149">
        <v>45167</v>
      </c>
      <c r="F298" s="150">
        <v>7416.4</v>
      </c>
      <c r="G298">
        <v>-1.2042414877178097E-2</v>
      </c>
    </row>
    <row r="299" spans="1:7" x14ac:dyDescent="0.2">
      <c r="A299" t="s">
        <v>480</v>
      </c>
      <c r="B299">
        <v>24.18</v>
      </c>
      <c r="C299" s="105">
        <v>4.5700041545492075E-3</v>
      </c>
      <c r="E299" s="149">
        <v>45166</v>
      </c>
      <c r="F299" s="150">
        <v>7365.9</v>
      </c>
      <c r="G299">
        <v>-6.8092335904212289E-3</v>
      </c>
    </row>
    <row r="300" spans="1:7" x14ac:dyDescent="0.2">
      <c r="A300" t="s">
        <v>481</v>
      </c>
      <c r="B300">
        <v>24.25</v>
      </c>
      <c r="C300" s="105">
        <v>2.8949545078577454E-3</v>
      </c>
      <c r="E300" s="149">
        <v>45163</v>
      </c>
      <c r="F300" s="150">
        <v>7332.6</v>
      </c>
      <c r="G300">
        <v>-4.5208324848286388E-3</v>
      </c>
    </row>
    <row r="301" spans="1:7" x14ac:dyDescent="0.2">
      <c r="A301" t="s">
        <v>482</v>
      </c>
      <c r="B301">
        <v>24.86</v>
      </c>
      <c r="C301" s="105">
        <v>2.5154639175257707E-2</v>
      </c>
      <c r="E301" s="149">
        <v>45162</v>
      </c>
      <c r="F301" s="150">
        <v>7400.6</v>
      </c>
      <c r="G301">
        <v>9.2736546381910912E-3</v>
      </c>
    </row>
    <row r="302" spans="1:7" x14ac:dyDescent="0.2">
      <c r="A302" t="s">
        <v>483</v>
      </c>
      <c r="B302">
        <v>24.03</v>
      </c>
      <c r="C302" s="105">
        <v>-3.3386967015285533E-2</v>
      </c>
      <c r="E302" s="149">
        <v>45161</v>
      </c>
      <c r="F302" s="150">
        <v>7367.6</v>
      </c>
      <c r="G302">
        <v>-4.459097910980191E-3</v>
      </c>
    </row>
    <row r="303" spans="1:7" x14ac:dyDescent="0.2">
      <c r="A303" t="s">
        <v>484</v>
      </c>
      <c r="B303">
        <v>24.06</v>
      </c>
      <c r="C303" s="105">
        <v>1.2484394506865411E-3</v>
      </c>
      <c r="E303" s="149">
        <v>45160</v>
      </c>
      <c r="F303" s="150">
        <v>7346.4</v>
      </c>
      <c r="G303">
        <v>-2.8774634887888495E-3</v>
      </c>
    </row>
    <row r="304" spans="1:7" x14ac:dyDescent="0.2">
      <c r="A304" t="s">
        <v>485</v>
      </c>
      <c r="B304">
        <v>24.8</v>
      </c>
      <c r="C304" s="105">
        <v>3.0756442227764007E-2</v>
      </c>
      <c r="E304" s="149">
        <v>45159</v>
      </c>
      <c r="F304" s="150">
        <v>7335.9</v>
      </c>
      <c r="G304">
        <v>-1.4292714799085267E-3</v>
      </c>
    </row>
    <row r="305" spans="1:7" x14ac:dyDescent="0.2">
      <c r="A305" t="s">
        <v>486</v>
      </c>
      <c r="B305">
        <v>22.75</v>
      </c>
      <c r="C305" s="105">
        <v>-8.2661290322580669E-2</v>
      </c>
      <c r="E305" s="149">
        <v>45156</v>
      </c>
      <c r="F305" s="150">
        <v>7366</v>
      </c>
      <c r="G305">
        <v>4.1031093662673105E-3</v>
      </c>
    </row>
    <row r="306" spans="1:7" x14ac:dyDescent="0.2">
      <c r="A306" t="s">
        <v>487</v>
      </c>
      <c r="B306">
        <v>22.89</v>
      </c>
      <c r="C306" s="105">
        <v>6.153846153846179E-3</v>
      </c>
      <c r="E306" s="149">
        <v>45155</v>
      </c>
      <c r="F306" s="150">
        <v>7364.4</v>
      </c>
      <c r="G306">
        <v>-2.1721422753195272E-4</v>
      </c>
    </row>
    <row r="307" spans="1:7" x14ac:dyDescent="0.2">
      <c r="A307" t="s">
        <v>488</v>
      </c>
      <c r="B307">
        <v>23.19</v>
      </c>
      <c r="C307" s="105">
        <v>1.3106159895150751E-2</v>
      </c>
      <c r="E307" s="149">
        <v>45154</v>
      </c>
      <c r="F307" s="150">
        <v>7411.8</v>
      </c>
      <c r="G307">
        <v>6.4363695616751603E-3</v>
      </c>
    </row>
    <row r="308" spans="1:7" x14ac:dyDescent="0.2">
      <c r="A308" t="s">
        <v>489</v>
      </c>
      <c r="B308">
        <v>23.72</v>
      </c>
      <c r="C308" s="105">
        <v>2.2854678740836461E-2</v>
      </c>
      <c r="E308" s="149">
        <v>45153</v>
      </c>
      <c r="F308" s="150">
        <v>7520.4</v>
      </c>
      <c r="G308">
        <v>1.46523111794705E-2</v>
      </c>
    </row>
    <row r="309" spans="1:7" x14ac:dyDescent="0.2">
      <c r="A309" t="s">
        <v>490</v>
      </c>
      <c r="B309">
        <v>24.22</v>
      </c>
      <c r="C309" s="105">
        <v>2.1079258010118045E-2</v>
      </c>
      <c r="E309" s="149">
        <v>45152</v>
      </c>
      <c r="F309" s="150">
        <v>7493.1</v>
      </c>
      <c r="G309">
        <v>-3.6301260571245243E-3</v>
      </c>
    </row>
    <row r="310" spans="1:7" x14ac:dyDescent="0.2">
      <c r="A310" t="s">
        <v>491</v>
      </c>
      <c r="B310">
        <v>24.08</v>
      </c>
      <c r="C310" s="105">
        <v>-5.7803468208092726E-3</v>
      </c>
      <c r="E310" s="149">
        <v>45149</v>
      </c>
      <c r="F310" s="150">
        <v>7554.2</v>
      </c>
      <c r="G310">
        <v>8.1541685016881475E-3</v>
      </c>
    </row>
    <row r="311" spans="1:7" x14ac:dyDescent="0.2">
      <c r="A311" t="s">
        <v>492</v>
      </c>
      <c r="B311">
        <v>23.72</v>
      </c>
      <c r="C311" s="105">
        <v>-1.4950166112956789E-2</v>
      </c>
      <c r="E311" s="149">
        <v>45148</v>
      </c>
      <c r="F311" s="150">
        <v>7568.5</v>
      </c>
      <c r="G311">
        <v>1.8929866829048981E-3</v>
      </c>
    </row>
    <row r="312" spans="1:7" x14ac:dyDescent="0.2">
      <c r="A312" t="s">
        <v>493</v>
      </c>
      <c r="B312">
        <v>23.27</v>
      </c>
      <c r="C312" s="105">
        <v>-1.8971332209106212E-2</v>
      </c>
      <c r="E312" s="149">
        <v>45147</v>
      </c>
      <c r="F312" s="150">
        <v>7543.4</v>
      </c>
      <c r="G312">
        <v>-3.3163770892515512E-3</v>
      </c>
    </row>
    <row r="313" spans="1:7" x14ac:dyDescent="0.2">
      <c r="A313" t="s">
        <v>494</v>
      </c>
      <c r="B313">
        <v>23.12</v>
      </c>
      <c r="C313" s="105">
        <v>-6.4460678985818042E-3</v>
      </c>
      <c r="E313" s="149">
        <v>45146</v>
      </c>
      <c r="F313" s="150">
        <v>7519.7</v>
      </c>
      <c r="G313">
        <v>-3.1418193387596867E-3</v>
      </c>
    </row>
    <row r="314" spans="1:7" x14ac:dyDescent="0.2">
      <c r="A314" t="s">
        <v>495</v>
      </c>
      <c r="B314">
        <v>22.92</v>
      </c>
      <c r="C314" s="105">
        <v>-8.650519031141838E-3</v>
      </c>
      <c r="E314" s="149">
        <v>45145</v>
      </c>
      <c r="F314" s="150">
        <v>7519.9</v>
      </c>
      <c r="G314">
        <v>2.6596805723608401E-5</v>
      </c>
    </row>
    <row r="315" spans="1:7" x14ac:dyDescent="0.2">
      <c r="A315" t="s">
        <v>496</v>
      </c>
      <c r="B315">
        <v>23.05</v>
      </c>
      <c r="C315" s="105">
        <v>5.6719022687608638E-3</v>
      </c>
      <c r="E315" s="149">
        <v>45142</v>
      </c>
      <c r="F315" s="150">
        <v>7535.9</v>
      </c>
      <c r="G315">
        <v>2.1276878681897368E-3</v>
      </c>
    </row>
    <row r="316" spans="1:7" x14ac:dyDescent="0.2">
      <c r="A316" t="s">
        <v>497</v>
      </c>
      <c r="B316">
        <v>22.55</v>
      </c>
      <c r="C316" s="105">
        <v>-2.1691973969631236E-2</v>
      </c>
      <c r="E316" s="149">
        <v>45141</v>
      </c>
      <c r="F316" s="150">
        <v>7522.3</v>
      </c>
      <c r="G316">
        <v>-1.8046948606005196E-3</v>
      </c>
    </row>
    <row r="317" spans="1:7" x14ac:dyDescent="0.2">
      <c r="A317" t="s">
        <v>498</v>
      </c>
      <c r="B317">
        <v>22.72</v>
      </c>
      <c r="C317" s="105">
        <v>7.5388026607537979E-3</v>
      </c>
      <c r="E317" s="149">
        <v>45140</v>
      </c>
      <c r="F317" s="150">
        <v>7568.4</v>
      </c>
      <c r="G317">
        <v>6.1284447575873672E-3</v>
      </c>
    </row>
    <row r="318" spans="1:7" x14ac:dyDescent="0.2">
      <c r="A318" t="s">
        <v>499</v>
      </c>
      <c r="B318">
        <v>22.37</v>
      </c>
      <c r="C318" s="105">
        <v>-1.5404929577464695E-2</v>
      </c>
      <c r="E318" s="149">
        <v>45139</v>
      </c>
      <c r="F318" s="150">
        <v>7663.7</v>
      </c>
      <c r="G318">
        <v>1.2591829184504015E-2</v>
      </c>
    </row>
    <row r="319" spans="1:7" x14ac:dyDescent="0.2">
      <c r="A319" t="s">
        <v>500</v>
      </c>
      <c r="B319">
        <v>22.18</v>
      </c>
      <c r="C319" s="105">
        <v>-8.4935181046044382E-3</v>
      </c>
      <c r="E319" s="149">
        <v>45138</v>
      </c>
      <c r="F319" s="150">
        <v>7622.2</v>
      </c>
      <c r="G319">
        <v>-5.4151389015749578E-3</v>
      </c>
    </row>
    <row r="320" spans="1:7" x14ac:dyDescent="0.2">
      <c r="A320" t="s">
        <v>501</v>
      </c>
      <c r="B320">
        <v>22.33</v>
      </c>
      <c r="C320" s="105">
        <v>6.7628494138863198E-3</v>
      </c>
      <c r="E320" s="149">
        <v>45135</v>
      </c>
      <c r="F320" s="150">
        <v>7616.1</v>
      </c>
      <c r="G320">
        <v>-8.0029387840773716E-4</v>
      </c>
    </row>
    <row r="321" spans="1:7" x14ac:dyDescent="0.2">
      <c r="A321" t="s">
        <v>502</v>
      </c>
      <c r="B321">
        <v>22.08</v>
      </c>
      <c r="C321" s="105">
        <v>-1.1195700850873265E-2</v>
      </c>
      <c r="E321" s="149">
        <v>45134</v>
      </c>
      <c r="F321" s="150">
        <v>7672.6</v>
      </c>
      <c r="G321">
        <v>7.418495030264833E-3</v>
      </c>
    </row>
    <row r="322" spans="1:7" x14ac:dyDescent="0.2">
      <c r="A322" t="s">
        <v>503</v>
      </c>
      <c r="B322">
        <v>21.11</v>
      </c>
      <c r="C322" s="105">
        <v>-4.3931159420289807E-2</v>
      </c>
      <c r="E322" s="149">
        <v>45133</v>
      </c>
      <c r="F322" s="150">
        <v>7617.8</v>
      </c>
      <c r="G322">
        <v>-7.1422985689336312E-3</v>
      </c>
    </row>
    <row r="323" spans="1:7" x14ac:dyDescent="0.2">
      <c r="A323" t="s">
        <v>504</v>
      </c>
      <c r="B323">
        <v>21.27</v>
      </c>
      <c r="C323" s="105">
        <v>7.5793462813832377E-3</v>
      </c>
      <c r="E323" s="149">
        <v>45132</v>
      </c>
      <c r="F323" s="150">
        <v>7554.7</v>
      </c>
      <c r="G323">
        <v>-8.2832313791383807E-3</v>
      </c>
    </row>
    <row r="324" spans="1:7" x14ac:dyDescent="0.2">
      <c r="A324" t="s">
        <v>505</v>
      </c>
      <c r="B324">
        <v>21.24</v>
      </c>
      <c r="C324" s="105">
        <v>-1.4104372355430719E-3</v>
      </c>
      <c r="E324" s="149">
        <v>45131</v>
      </c>
      <c r="F324" s="150">
        <v>7517.3</v>
      </c>
      <c r="G324">
        <v>-4.9505605781830697E-3</v>
      </c>
    </row>
    <row r="325" spans="1:7" x14ac:dyDescent="0.2">
      <c r="A325" t="s">
        <v>506</v>
      </c>
      <c r="B325">
        <v>21.55</v>
      </c>
      <c r="C325" s="105">
        <v>1.4595103578154535E-2</v>
      </c>
      <c r="E325" s="149">
        <v>45128</v>
      </c>
      <c r="F325" s="150">
        <v>7526.8</v>
      </c>
      <c r="G325">
        <v>1.2637516129461374E-3</v>
      </c>
    </row>
    <row r="326" spans="1:7" x14ac:dyDescent="0.2">
      <c r="A326" t="s">
        <v>507</v>
      </c>
      <c r="B326">
        <v>22.24</v>
      </c>
      <c r="C326" s="105">
        <v>3.2018561484918689E-2</v>
      </c>
      <c r="E326" s="149">
        <v>45127</v>
      </c>
      <c r="F326" s="150">
        <v>7541.9</v>
      </c>
      <c r="G326">
        <v>2.0061646383588583E-3</v>
      </c>
    </row>
    <row r="327" spans="1:7" x14ac:dyDescent="0.2">
      <c r="A327" t="s">
        <v>508</v>
      </c>
      <c r="B327">
        <v>21.87</v>
      </c>
      <c r="C327" s="105">
        <v>-1.6636690647481901E-2</v>
      </c>
      <c r="E327" s="149">
        <v>45126</v>
      </c>
      <c r="F327" s="150">
        <v>7538.2</v>
      </c>
      <c r="G327">
        <v>-4.905925562523791E-4</v>
      </c>
    </row>
    <row r="328" spans="1:7" x14ac:dyDescent="0.2">
      <c r="A328" t="s">
        <v>509</v>
      </c>
      <c r="B328">
        <v>21.91</v>
      </c>
      <c r="C328" s="105">
        <v>1.8289894833104319E-3</v>
      </c>
      <c r="E328" s="149">
        <v>45125</v>
      </c>
      <c r="F328" s="150">
        <v>7496.7</v>
      </c>
      <c r="G328">
        <v>-5.5052930407789658E-3</v>
      </c>
    </row>
    <row r="329" spans="1:7" x14ac:dyDescent="0.2">
      <c r="A329" t="s">
        <v>510</v>
      </c>
      <c r="B329">
        <v>22.14</v>
      </c>
      <c r="C329" s="105">
        <v>1.0497489730716587E-2</v>
      </c>
      <c r="E329" s="149">
        <v>45124</v>
      </c>
      <c r="F329" s="150">
        <v>7511.6</v>
      </c>
      <c r="G329">
        <v>1.9875411847880462E-3</v>
      </c>
    </row>
    <row r="330" spans="1:7" x14ac:dyDescent="0.2">
      <c r="A330" t="s">
        <v>511</v>
      </c>
      <c r="B330">
        <v>21.85</v>
      </c>
      <c r="C330" s="105">
        <v>-1.3098464317976474E-2</v>
      </c>
      <c r="E330" s="149">
        <v>45121</v>
      </c>
      <c r="F330" s="150">
        <v>7517.1</v>
      </c>
      <c r="G330">
        <v>7.3220086266574365E-4</v>
      </c>
    </row>
    <row r="331" spans="1:7" x14ac:dyDescent="0.2">
      <c r="A331" t="s">
        <v>512</v>
      </c>
      <c r="B331">
        <v>22.12</v>
      </c>
      <c r="C331" s="105">
        <v>1.2356979405034305E-2</v>
      </c>
      <c r="E331" s="149">
        <v>45120</v>
      </c>
      <c r="F331" s="150">
        <v>7455.4</v>
      </c>
      <c r="G331">
        <v>-8.2079525348872206E-3</v>
      </c>
    </row>
    <row r="332" spans="1:7" x14ac:dyDescent="0.2">
      <c r="A332" t="s">
        <v>513</v>
      </c>
      <c r="B332">
        <v>21.56</v>
      </c>
      <c r="C332" s="105">
        <v>-2.5316455696202632E-2</v>
      </c>
      <c r="E332" s="149">
        <v>45119</v>
      </c>
      <c r="F332" s="150">
        <v>7341.5</v>
      </c>
      <c r="G332">
        <v>-1.5277516967567085E-2</v>
      </c>
    </row>
    <row r="333" spans="1:7" x14ac:dyDescent="0.2">
      <c r="A333" t="s">
        <v>514</v>
      </c>
      <c r="B333">
        <v>21.16</v>
      </c>
      <c r="C333" s="105">
        <v>-1.8552875695732773E-2</v>
      </c>
      <c r="E333" s="149">
        <v>45118</v>
      </c>
      <c r="F333" s="150">
        <v>7315.8</v>
      </c>
      <c r="G333">
        <v>-3.5006470067424664E-3</v>
      </c>
    </row>
    <row r="334" spans="1:7" x14ac:dyDescent="0.2">
      <c r="A334" t="s">
        <v>515</v>
      </c>
      <c r="B334">
        <v>20.49</v>
      </c>
      <c r="C334" s="105">
        <v>-3.166351606805301E-2</v>
      </c>
      <c r="E334" s="149">
        <v>45117</v>
      </c>
      <c r="F334" s="150">
        <v>7206.9</v>
      </c>
      <c r="G334">
        <v>-1.4885590092676201E-2</v>
      </c>
    </row>
    <row r="335" spans="1:7" x14ac:dyDescent="0.2">
      <c r="A335" t="s">
        <v>516</v>
      </c>
      <c r="B335">
        <v>20.29</v>
      </c>
      <c r="C335" s="105">
        <v>-9.7608589555880573E-3</v>
      </c>
      <c r="E335" s="149">
        <v>45114</v>
      </c>
      <c r="F335" s="150">
        <v>7244.1</v>
      </c>
      <c r="G335">
        <v>5.1617200183158816E-3</v>
      </c>
    </row>
    <row r="336" spans="1:7" x14ac:dyDescent="0.2">
      <c r="A336" t="s">
        <v>517</v>
      </c>
      <c r="B336">
        <v>20.38</v>
      </c>
      <c r="C336" s="105">
        <v>4.4356826022671197E-3</v>
      </c>
      <c r="E336" s="149">
        <v>45113</v>
      </c>
      <c r="F336" s="150">
        <v>7365</v>
      </c>
      <c r="G336">
        <v>1.6689443823249214E-2</v>
      </c>
    </row>
    <row r="337" spans="1:7" x14ac:dyDescent="0.2">
      <c r="A337" t="s">
        <v>518</v>
      </c>
      <c r="B337">
        <v>20.68</v>
      </c>
      <c r="C337" s="105">
        <v>1.4720314033366081E-2</v>
      </c>
      <c r="E337" s="149">
        <v>45112</v>
      </c>
      <c r="F337" s="150">
        <v>7453.1</v>
      </c>
      <c r="G337">
        <v>1.1961982348947775E-2</v>
      </c>
    </row>
    <row r="338" spans="1:7" x14ac:dyDescent="0.2">
      <c r="A338" t="s">
        <v>519</v>
      </c>
      <c r="B338">
        <v>20.56</v>
      </c>
      <c r="C338" s="105">
        <v>-5.8027079303675528E-3</v>
      </c>
      <c r="E338" s="149">
        <v>45111</v>
      </c>
      <c r="F338" s="150">
        <v>7478.9</v>
      </c>
      <c r="G338">
        <v>3.4616468315196726E-3</v>
      </c>
    </row>
    <row r="339" spans="1:7" x14ac:dyDescent="0.2">
      <c r="A339" t="s">
        <v>520</v>
      </c>
      <c r="B339">
        <v>20.329999999999998</v>
      </c>
      <c r="C339" s="105">
        <v>-1.1186770428015585E-2</v>
      </c>
      <c r="E339" s="149">
        <v>45110</v>
      </c>
      <c r="F339" s="150">
        <v>7442.8</v>
      </c>
      <c r="G339">
        <v>-4.8269130487102992E-3</v>
      </c>
    </row>
    <row r="340" spans="1:7" x14ac:dyDescent="0.2">
      <c r="A340" t="s">
        <v>521</v>
      </c>
      <c r="B340">
        <v>19.600000000000001</v>
      </c>
      <c r="C340" s="105">
        <v>-3.5907525823905405E-2</v>
      </c>
      <c r="E340" s="149">
        <v>45107</v>
      </c>
      <c r="F340" s="150">
        <v>7401.5</v>
      </c>
      <c r="G340">
        <v>-5.5489869403987993E-3</v>
      </c>
    </row>
    <row r="341" spans="1:7" x14ac:dyDescent="0.2">
      <c r="A341" t="s">
        <v>522</v>
      </c>
      <c r="B341">
        <v>19.63</v>
      </c>
      <c r="C341" s="105">
        <v>1.5306122448978357E-3</v>
      </c>
      <c r="E341" s="149">
        <v>45106</v>
      </c>
      <c r="F341" s="150">
        <v>7389.6</v>
      </c>
      <c r="G341">
        <v>-1.6077822063094826E-3</v>
      </c>
    </row>
    <row r="342" spans="1:7" x14ac:dyDescent="0.2">
      <c r="A342" t="s">
        <v>523</v>
      </c>
      <c r="B342">
        <v>19.46</v>
      </c>
      <c r="C342" s="105">
        <v>-8.6602139582271104E-3</v>
      </c>
      <c r="E342" s="149">
        <v>45105</v>
      </c>
      <c r="F342" s="150">
        <v>7384.1</v>
      </c>
      <c r="G342">
        <v>-7.4428927140846588E-4</v>
      </c>
    </row>
    <row r="343" spans="1:7" x14ac:dyDescent="0.2">
      <c r="A343" t="s">
        <v>524</v>
      </c>
      <c r="B343">
        <v>19.07</v>
      </c>
      <c r="C343" s="105">
        <v>-2.0041109969167553E-2</v>
      </c>
      <c r="E343" s="149">
        <v>45104</v>
      </c>
      <c r="F343" s="150">
        <v>7300</v>
      </c>
      <c r="G343">
        <v>-1.138933654744659E-2</v>
      </c>
    </row>
    <row r="344" spans="1:7" x14ac:dyDescent="0.2">
      <c r="A344" t="s">
        <v>525</v>
      </c>
      <c r="B344">
        <v>18.7</v>
      </c>
      <c r="C344" s="105">
        <v>-1.9402202412165757E-2</v>
      </c>
      <c r="E344" s="149">
        <v>45103</v>
      </c>
      <c r="F344" s="150">
        <v>7264.1</v>
      </c>
      <c r="G344">
        <v>-4.9178082191780326E-3</v>
      </c>
    </row>
    <row r="345" spans="1:7" x14ac:dyDescent="0.2">
      <c r="A345" t="s">
        <v>526</v>
      </c>
      <c r="B345">
        <v>18.86</v>
      </c>
      <c r="C345" s="105">
        <v>8.556149732620328E-3</v>
      </c>
      <c r="E345" s="149">
        <v>45100</v>
      </c>
      <c r="F345" s="150">
        <v>7285.6</v>
      </c>
      <c r="G345">
        <v>2.9597610165058297E-3</v>
      </c>
    </row>
    <row r="346" spans="1:7" x14ac:dyDescent="0.2">
      <c r="A346" t="s">
        <v>527</v>
      </c>
      <c r="B346">
        <v>18.95</v>
      </c>
      <c r="C346" s="105">
        <v>4.7720042417815408E-3</v>
      </c>
      <c r="E346" s="149">
        <v>45099</v>
      </c>
      <c r="F346" s="150">
        <v>7381</v>
      </c>
      <c r="G346">
        <v>1.3094323048204628E-2</v>
      </c>
    </row>
    <row r="347" spans="1:7" x14ac:dyDescent="0.2">
      <c r="A347" t="s">
        <v>528</v>
      </c>
      <c r="B347">
        <v>19.47</v>
      </c>
      <c r="C347" s="105">
        <v>2.7440633245382564E-2</v>
      </c>
      <c r="E347" s="149">
        <v>45098</v>
      </c>
      <c r="F347" s="150">
        <v>7505.6</v>
      </c>
      <c r="G347">
        <v>1.6881181411732876E-2</v>
      </c>
    </row>
    <row r="348" spans="1:7" x14ac:dyDescent="0.2">
      <c r="A348" t="s">
        <v>529</v>
      </c>
      <c r="B348">
        <v>19.45</v>
      </c>
      <c r="C348" s="105">
        <v>-1.0272213662043952E-3</v>
      </c>
      <c r="E348" s="149">
        <v>45097</v>
      </c>
      <c r="F348" s="150">
        <v>7548.5</v>
      </c>
      <c r="G348">
        <v>5.7157322532508572E-3</v>
      </c>
    </row>
    <row r="349" spans="1:7" x14ac:dyDescent="0.2">
      <c r="A349" t="s">
        <v>530</v>
      </c>
      <c r="B349">
        <v>19.25</v>
      </c>
      <c r="C349" s="105">
        <v>-1.028277634961436E-2</v>
      </c>
      <c r="E349" s="149">
        <v>45096</v>
      </c>
      <c r="F349" s="150">
        <v>7489.2</v>
      </c>
      <c r="G349">
        <v>-7.8558654037226179E-3</v>
      </c>
    </row>
    <row r="350" spans="1:7" x14ac:dyDescent="0.2">
      <c r="A350" t="s">
        <v>531</v>
      </c>
      <c r="B350">
        <v>19.14</v>
      </c>
      <c r="C350" s="105">
        <v>-5.7142857142856848E-3</v>
      </c>
      <c r="E350" s="149">
        <v>45093</v>
      </c>
      <c r="F350" s="150">
        <v>7451.2</v>
      </c>
      <c r="G350">
        <v>-5.0739731880574696E-3</v>
      </c>
    </row>
    <row r="351" spans="1:7" x14ac:dyDescent="0.2">
      <c r="A351" t="s">
        <v>532</v>
      </c>
      <c r="B351">
        <v>19.010000000000002</v>
      </c>
      <c r="C351" s="105">
        <v>-6.7920585161963948E-3</v>
      </c>
      <c r="E351" s="149">
        <v>45092</v>
      </c>
      <c r="F351" s="150">
        <v>7370</v>
      </c>
      <c r="G351">
        <v>-1.0897573545200748E-2</v>
      </c>
    </row>
    <row r="352" spans="1:7" x14ac:dyDescent="0.2">
      <c r="A352" t="s">
        <v>533</v>
      </c>
      <c r="B352">
        <v>19.420000000000002</v>
      </c>
      <c r="C352" s="105">
        <v>2.1567596002104162E-2</v>
      </c>
      <c r="E352" s="149">
        <v>45091</v>
      </c>
      <c r="F352" s="150">
        <v>7354.2</v>
      </c>
      <c r="G352">
        <v>-2.143826322930825E-3</v>
      </c>
    </row>
    <row r="353" spans="1:7" x14ac:dyDescent="0.2">
      <c r="A353" t="s">
        <v>534</v>
      </c>
      <c r="B353">
        <v>19.149999999999999</v>
      </c>
      <c r="C353" s="105">
        <v>-1.3903192584964114E-2</v>
      </c>
      <c r="E353" s="149">
        <v>45090</v>
      </c>
      <c r="F353" s="150">
        <v>7329.1</v>
      </c>
      <c r="G353">
        <v>-3.4130156917135043E-3</v>
      </c>
    </row>
    <row r="354" spans="1:7" x14ac:dyDescent="0.2">
      <c r="A354" t="s">
        <v>535</v>
      </c>
      <c r="B354">
        <v>19.010000000000002</v>
      </c>
      <c r="C354" s="105">
        <v>-7.3107049608353535E-3</v>
      </c>
      <c r="E354" s="149">
        <v>45086</v>
      </c>
      <c r="F354" s="150">
        <v>7312.3</v>
      </c>
      <c r="G354">
        <v>-2.2922323341201759E-3</v>
      </c>
    </row>
    <row r="355" spans="1:7" x14ac:dyDescent="0.2">
      <c r="A355" t="s">
        <v>536</v>
      </c>
      <c r="B355">
        <v>19.04</v>
      </c>
      <c r="C355" s="105">
        <v>1.5781167806416404E-3</v>
      </c>
      <c r="E355" s="149">
        <v>45085</v>
      </c>
      <c r="F355" s="150">
        <v>7288.3</v>
      </c>
      <c r="G355">
        <v>-3.2821410500116243E-3</v>
      </c>
    </row>
    <row r="356" spans="1:7" x14ac:dyDescent="0.2">
      <c r="A356" t="s">
        <v>537</v>
      </c>
      <c r="B356">
        <v>19.350000000000001</v>
      </c>
      <c r="C356" s="105">
        <v>1.6281512605042136E-2</v>
      </c>
      <c r="E356" s="149">
        <v>45084</v>
      </c>
      <c r="F356" s="150">
        <v>7310.4</v>
      </c>
      <c r="G356">
        <v>3.0322571793147172E-3</v>
      </c>
    </row>
    <row r="357" spans="1:7" x14ac:dyDescent="0.2">
      <c r="A357" t="s">
        <v>538</v>
      </c>
      <c r="B357">
        <v>19.27</v>
      </c>
      <c r="C357" s="105">
        <v>-4.1343669250646945E-3</v>
      </c>
      <c r="E357" s="149">
        <v>45083</v>
      </c>
      <c r="F357" s="150">
        <v>7319.9</v>
      </c>
      <c r="G357">
        <v>1.2995184942000439E-3</v>
      </c>
    </row>
    <row r="358" spans="1:7" x14ac:dyDescent="0.2">
      <c r="A358" t="s">
        <v>539</v>
      </c>
      <c r="B358">
        <v>19.559999999999999</v>
      </c>
      <c r="C358" s="105">
        <v>1.5049299429164461E-2</v>
      </c>
      <c r="E358" s="149">
        <v>45082</v>
      </c>
      <c r="F358" s="150">
        <v>7401.2</v>
      </c>
      <c r="G358">
        <v>1.110670910804795E-2</v>
      </c>
    </row>
    <row r="359" spans="1:7" x14ac:dyDescent="0.2">
      <c r="A359" t="s">
        <v>540</v>
      </c>
      <c r="B359">
        <v>19.32</v>
      </c>
      <c r="C359" s="105">
        <v>-1.2269938650306669E-2</v>
      </c>
      <c r="E359" s="149">
        <v>45079</v>
      </c>
      <c r="F359" s="150">
        <v>7331.2</v>
      </c>
      <c r="G359">
        <v>-9.4579257417716049E-3</v>
      </c>
    </row>
    <row r="360" spans="1:7" x14ac:dyDescent="0.2">
      <c r="A360" t="s">
        <v>541</v>
      </c>
      <c r="B360">
        <v>19.12</v>
      </c>
      <c r="C360" s="105">
        <v>-1.0351966873705968E-2</v>
      </c>
      <c r="E360" s="149">
        <v>45078</v>
      </c>
      <c r="F360" s="150">
        <v>7290.7</v>
      </c>
      <c r="G360">
        <v>-5.5243343518114364E-3</v>
      </c>
    </row>
    <row r="361" spans="1:7" x14ac:dyDescent="0.2">
      <c r="A361" t="s">
        <v>542</v>
      </c>
      <c r="B361">
        <v>19.28</v>
      </c>
      <c r="C361" s="105">
        <v>8.3682008368200899E-3</v>
      </c>
      <c r="E361" s="149">
        <v>45077</v>
      </c>
      <c r="F361" s="150">
        <v>7273.5</v>
      </c>
      <c r="G361">
        <v>-2.3591699013811866E-3</v>
      </c>
    </row>
    <row r="362" spans="1:7" x14ac:dyDescent="0.2">
      <c r="A362" t="s">
        <v>543</v>
      </c>
      <c r="B362">
        <v>19.45</v>
      </c>
      <c r="C362" s="105">
        <v>8.8174273858920207E-3</v>
      </c>
      <c r="E362" s="149">
        <v>45076</v>
      </c>
      <c r="F362" s="150">
        <v>7387.3</v>
      </c>
      <c r="G362">
        <v>1.5645837629751864E-2</v>
      </c>
    </row>
    <row r="363" spans="1:7" x14ac:dyDescent="0.2">
      <c r="A363" t="s">
        <v>544</v>
      </c>
      <c r="B363">
        <v>19.52</v>
      </c>
      <c r="C363" s="105">
        <v>3.5989717223650535E-3</v>
      </c>
      <c r="E363" s="149">
        <v>45075</v>
      </c>
      <c r="F363" s="150">
        <v>7395.1</v>
      </c>
      <c r="G363">
        <v>1.0558661486605636E-3</v>
      </c>
    </row>
    <row r="364" spans="1:7" x14ac:dyDescent="0.2">
      <c r="A364" t="s">
        <v>545</v>
      </c>
      <c r="B364">
        <v>19.84</v>
      </c>
      <c r="C364" s="105">
        <v>1.6393442622950834E-2</v>
      </c>
      <c r="E364" s="149">
        <v>45072</v>
      </c>
      <c r="F364" s="150">
        <v>7334.5</v>
      </c>
      <c r="G364">
        <v>-8.1946153534097396E-3</v>
      </c>
    </row>
    <row r="365" spans="1:7" x14ac:dyDescent="0.2">
      <c r="A365" t="s">
        <v>546</v>
      </c>
      <c r="B365">
        <v>19.66</v>
      </c>
      <c r="C365" s="105">
        <v>-9.0725806451612753E-3</v>
      </c>
      <c r="E365" s="149">
        <v>45071</v>
      </c>
      <c r="F365" s="150">
        <v>7316.7</v>
      </c>
      <c r="G365">
        <v>-2.4268866316722588E-3</v>
      </c>
    </row>
    <row r="366" spans="1:7" x14ac:dyDescent="0.2">
      <c r="A366" t="s">
        <v>547</v>
      </c>
      <c r="B366">
        <v>19.899999999999999</v>
      </c>
      <c r="C366" s="105">
        <v>1.2207527975584864E-2</v>
      </c>
      <c r="E366" s="149">
        <v>45070</v>
      </c>
      <c r="F366" s="150">
        <v>7392.9</v>
      </c>
      <c r="G366">
        <v>1.041453114108817E-2</v>
      </c>
    </row>
    <row r="367" spans="1:7" x14ac:dyDescent="0.2">
      <c r="A367" t="s">
        <v>548</v>
      </c>
      <c r="B367">
        <v>20.079999999999998</v>
      </c>
      <c r="C367" s="105">
        <v>9.0452261306532521E-3</v>
      </c>
      <c r="E367" s="149">
        <v>45069</v>
      </c>
      <c r="F367" s="150">
        <v>7447.4</v>
      </c>
      <c r="G367">
        <v>7.3719379404563841E-3</v>
      </c>
    </row>
    <row r="368" spans="1:7" x14ac:dyDescent="0.2">
      <c r="A368" t="s">
        <v>549</v>
      </c>
      <c r="B368">
        <v>20.16</v>
      </c>
      <c r="C368" s="105">
        <v>3.9840637450200131E-3</v>
      </c>
      <c r="E368" s="149">
        <v>45068</v>
      </c>
      <c r="F368" s="150">
        <v>7450.7</v>
      </c>
      <c r="G368">
        <v>4.4310766173432097E-4</v>
      </c>
    </row>
    <row r="369" spans="1:7" x14ac:dyDescent="0.2">
      <c r="A369" t="s">
        <v>550</v>
      </c>
      <c r="B369">
        <v>20.309999999999999</v>
      </c>
      <c r="C369" s="105">
        <v>7.4404761904761198E-3</v>
      </c>
      <c r="E369" s="149">
        <v>45065</v>
      </c>
      <c r="F369" s="150">
        <v>7471.5</v>
      </c>
      <c r="G369">
        <v>2.7916840028453945E-3</v>
      </c>
    </row>
    <row r="370" spans="1:7" x14ac:dyDescent="0.2">
      <c r="A370" t="s">
        <v>551</v>
      </c>
      <c r="B370">
        <v>19.96</v>
      </c>
      <c r="C370" s="105">
        <v>-1.7232890201870896E-2</v>
      </c>
      <c r="E370" s="149">
        <v>45064</v>
      </c>
      <c r="F370" s="150">
        <v>7427</v>
      </c>
      <c r="G370">
        <v>-5.9559660041490995E-3</v>
      </c>
    </row>
    <row r="371" spans="1:7" x14ac:dyDescent="0.2">
      <c r="A371" t="s">
        <v>552</v>
      </c>
      <c r="B371">
        <v>19.87</v>
      </c>
      <c r="C371" s="105">
        <v>-4.5090180360721367E-3</v>
      </c>
      <c r="E371" s="149">
        <v>45063</v>
      </c>
      <c r="F371" s="150">
        <v>7389.3</v>
      </c>
      <c r="G371">
        <v>-5.0760737848390761E-3</v>
      </c>
    </row>
    <row r="372" spans="1:7" x14ac:dyDescent="0.2">
      <c r="A372" t="s">
        <v>553</v>
      </c>
      <c r="B372">
        <v>20</v>
      </c>
      <c r="C372" s="105">
        <v>6.5425264217412685E-3</v>
      </c>
      <c r="E372" s="149">
        <v>45062</v>
      </c>
      <c r="F372" s="150">
        <v>7424.1</v>
      </c>
      <c r="G372">
        <v>4.7095124030693278E-3</v>
      </c>
    </row>
    <row r="373" spans="1:7" x14ac:dyDescent="0.2">
      <c r="A373" t="s">
        <v>554</v>
      </c>
      <c r="B373">
        <v>20.49</v>
      </c>
      <c r="C373" s="105">
        <v>2.4499999999999921E-2</v>
      </c>
      <c r="E373" s="149">
        <v>45061</v>
      </c>
      <c r="F373" s="150">
        <v>7460.5</v>
      </c>
      <c r="G373">
        <v>4.9029511994719407E-3</v>
      </c>
    </row>
    <row r="374" spans="1:7" x14ac:dyDescent="0.2">
      <c r="A374" t="s">
        <v>555</v>
      </c>
      <c r="B374">
        <v>20.79</v>
      </c>
      <c r="C374" s="105">
        <v>1.4641288433382173E-2</v>
      </c>
      <c r="E374" s="149">
        <v>45058</v>
      </c>
      <c r="F374" s="150">
        <v>7453.2</v>
      </c>
      <c r="G374">
        <v>-9.7848669660212883E-4</v>
      </c>
    </row>
    <row r="375" spans="1:7" x14ac:dyDescent="0.2">
      <c r="A375" t="s">
        <v>556</v>
      </c>
      <c r="B375">
        <v>20.54</v>
      </c>
      <c r="C375" s="105">
        <v>-1.2025012025012025E-2</v>
      </c>
      <c r="E375" s="149">
        <v>45057</v>
      </c>
      <c r="F375" s="150">
        <v>7449.7</v>
      </c>
      <c r="G375">
        <v>-4.6959695164493107E-4</v>
      </c>
    </row>
    <row r="376" spans="1:7" x14ac:dyDescent="0.2">
      <c r="A376" t="s">
        <v>557</v>
      </c>
      <c r="B376">
        <v>21.02</v>
      </c>
      <c r="C376" s="105">
        <v>2.3369036027263899E-2</v>
      </c>
      <c r="E376" s="149">
        <v>45056</v>
      </c>
      <c r="F376" s="150">
        <v>7452.3</v>
      </c>
      <c r="G376">
        <v>3.4900734257760233E-4</v>
      </c>
    </row>
    <row r="377" spans="1:7" x14ac:dyDescent="0.2">
      <c r="A377" t="s">
        <v>558</v>
      </c>
      <c r="B377">
        <v>20.91</v>
      </c>
      <c r="C377" s="105">
        <v>-5.2331113225499255E-3</v>
      </c>
      <c r="E377" s="149">
        <v>45055</v>
      </c>
      <c r="F377" s="150">
        <v>7456.7</v>
      </c>
      <c r="G377">
        <v>5.9042174899019576E-4</v>
      </c>
    </row>
    <row r="378" spans="1:7" x14ac:dyDescent="0.2">
      <c r="A378" t="s">
        <v>559</v>
      </c>
      <c r="B378">
        <v>20.86</v>
      </c>
      <c r="C378" s="105">
        <v>-2.3912003825920952E-3</v>
      </c>
      <c r="E378" s="149">
        <v>45054</v>
      </c>
      <c r="F378" s="150">
        <v>7472.1</v>
      </c>
      <c r="G378">
        <v>2.0652567489640923E-3</v>
      </c>
    </row>
    <row r="379" spans="1:7" x14ac:dyDescent="0.2">
      <c r="A379" t="s">
        <v>560</v>
      </c>
      <c r="B379">
        <v>20.96</v>
      </c>
      <c r="C379" s="105">
        <v>4.7938638542666069E-3</v>
      </c>
      <c r="E379" s="149">
        <v>45051</v>
      </c>
      <c r="F379" s="150">
        <v>7413.1</v>
      </c>
      <c r="G379">
        <v>-7.8960399352257064E-3</v>
      </c>
    </row>
    <row r="380" spans="1:7" x14ac:dyDescent="0.2">
      <c r="A380" t="s">
        <v>561</v>
      </c>
      <c r="B380">
        <v>20.99</v>
      </c>
      <c r="C380" s="105">
        <v>1.4312977099235488E-3</v>
      </c>
      <c r="E380" s="149">
        <v>45050</v>
      </c>
      <c r="F380" s="150">
        <v>7388.2</v>
      </c>
      <c r="G380">
        <v>-3.3589186710014087E-3</v>
      </c>
    </row>
    <row r="381" spans="1:7" x14ac:dyDescent="0.2">
      <c r="A381" t="s">
        <v>562</v>
      </c>
      <c r="B381">
        <v>20.28</v>
      </c>
      <c r="C381" s="105">
        <v>-3.3825631252977481E-2</v>
      </c>
      <c r="E381" s="149">
        <v>45049</v>
      </c>
      <c r="F381" s="150">
        <v>7389</v>
      </c>
      <c r="G381">
        <v>1.0828077204192929E-4</v>
      </c>
    </row>
    <row r="382" spans="1:7" x14ac:dyDescent="0.2">
      <c r="A382" t="s">
        <v>563</v>
      </c>
      <c r="B382">
        <v>20.49</v>
      </c>
      <c r="C382" s="105">
        <v>1.0355029585798682E-2</v>
      </c>
      <c r="E382" s="149">
        <v>45048</v>
      </c>
      <c r="F382" s="150">
        <v>7459.8</v>
      </c>
      <c r="G382">
        <v>9.5818107998376211E-3</v>
      </c>
    </row>
    <row r="383" spans="1:7" x14ac:dyDescent="0.2">
      <c r="A383" t="s">
        <v>564</v>
      </c>
      <c r="B383">
        <v>20.34</v>
      </c>
      <c r="C383" s="105">
        <v>-7.3206442166909996E-3</v>
      </c>
      <c r="E383" s="149">
        <v>45047</v>
      </c>
      <c r="F383" s="150">
        <v>7524.2</v>
      </c>
      <c r="G383">
        <v>8.6329392208905915E-3</v>
      </c>
    </row>
    <row r="384" spans="1:7" x14ac:dyDescent="0.2">
      <c r="A384" t="s">
        <v>565</v>
      </c>
      <c r="B384">
        <v>20.2</v>
      </c>
      <c r="C384" s="105">
        <v>-6.8829891838741676E-3</v>
      </c>
      <c r="E384" s="149">
        <v>45044</v>
      </c>
      <c r="F384" s="150">
        <v>7501</v>
      </c>
      <c r="G384">
        <v>-3.0833842800563273E-3</v>
      </c>
    </row>
    <row r="385" spans="1:7" x14ac:dyDescent="0.2">
      <c r="A385" t="s">
        <v>566</v>
      </c>
      <c r="B385">
        <v>19.68</v>
      </c>
      <c r="C385" s="105">
        <v>-2.5742574257425724E-2</v>
      </c>
      <c r="E385" s="149">
        <v>45043</v>
      </c>
      <c r="F385" s="150">
        <v>7482.2</v>
      </c>
      <c r="G385">
        <v>-2.5063324890014908E-3</v>
      </c>
    </row>
    <row r="386" spans="1:7" x14ac:dyDescent="0.2">
      <c r="A386" t="s">
        <v>567</v>
      </c>
      <c r="B386">
        <v>19.75</v>
      </c>
      <c r="C386" s="105">
        <v>3.5569105691057056E-3</v>
      </c>
      <c r="E386" s="149">
        <v>45042</v>
      </c>
      <c r="F386" s="150">
        <v>7502.8</v>
      </c>
      <c r="G386">
        <v>2.7532009302077415E-3</v>
      </c>
    </row>
    <row r="387" spans="1:7" x14ac:dyDescent="0.2">
      <c r="A387" t="s">
        <v>568</v>
      </c>
      <c r="B387">
        <v>19.96</v>
      </c>
      <c r="C387" s="105">
        <v>1.0632911392405107E-2</v>
      </c>
      <c r="E387" s="149">
        <v>45040</v>
      </c>
      <c r="F387" s="150">
        <v>7512.2</v>
      </c>
      <c r="G387">
        <v>1.2528655968437965E-3</v>
      </c>
    </row>
    <row r="388" spans="1:7" x14ac:dyDescent="0.2">
      <c r="A388" t="s">
        <v>569</v>
      </c>
      <c r="B388">
        <v>19.95</v>
      </c>
      <c r="C388" s="105">
        <v>-5.0100200400809438E-4</v>
      </c>
      <c r="E388" s="149">
        <v>45037</v>
      </c>
      <c r="F388" s="150">
        <v>7523</v>
      </c>
      <c r="G388">
        <v>1.4376614041159957E-3</v>
      </c>
    </row>
    <row r="389" spans="1:7" x14ac:dyDescent="0.2">
      <c r="A389" t="s">
        <v>570</v>
      </c>
      <c r="B389">
        <v>19.920000000000002</v>
      </c>
      <c r="C389" s="105">
        <v>-1.5037593984961195E-3</v>
      </c>
      <c r="E389" s="149">
        <v>45036</v>
      </c>
      <c r="F389" s="150">
        <v>7555.4</v>
      </c>
      <c r="G389">
        <v>4.3067925029907795E-3</v>
      </c>
    </row>
    <row r="390" spans="1:7" x14ac:dyDescent="0.2">
      <c r="A390" t="s">
        <v>571</v>
      </c>
      <c r="B390">
        <v>19.77</v>
      </c>
      <c r="C390" s="105">
        <v>-7.5301204819278175E-3</v>
      </c>
      <c r="E390" s="149">
        <v>45035</v>
      </c>
      <c r="F390" s="150">
        <v>7561.3</v>
      </c>
      <c r="G390">
        <v>7.8089843026187173E-4</v>
      </c>
    </row>
    <row r="391" spans="1:7" x14ac:dyDescent="0.2">
      <c r="A391" t="s">
        <v>572</v>
      </c>
      <c r="B391">
        <v>20.27</v>
      </c>
      <c r="C391" s="105">
        <v>2.5290844714213456E-2</v>
      </c>
      <c r="E391" s="149">
        <v>45034</v>
      </c>
      <c r="F391" s="150">
        <v>7557.5</v>
      </c>
      <c r="G391">
        <v>-5.0255908375546293E-4</v>
      </c>
    </row>
    <row r="392" spans="1:7" x14ac:dyDescent="0.2">
      <c r="A392" t="s">
        <v>573</v>
      </c>
      <c r="B392">
        <v>20.37</v>
      </c>
      <c r="C392" s="105">
        <v>4.9333991119882301E-3</v>
      </c>
      <c r="E392" s="149">
        <v>45033</v>
      </c>
      <c r="F392" s="150">
        <v>7578.1</v>
      </c>
      <c r="G392">
        <v>2.7257691035395782E-3</v>
      </c>
    </row>
    <row r="393" spans="1:7" x14ac:dyDescent="0.2">
      <c r="A393" t="s">
        <v>574</v>
      </c>
      <c r="B393">
        <v>20.100000000000001</v>
      </c>
      <c r="C393" s="105">
        <v>-1.3254786450662718E-2</v>
      </c>
      <c r="E393" s="149">
        <v>45030</v>
      </c>
      <c r="F393" s="150">
        <v>7560.4</v>
      </c>
      <c r="G393">
        <v>-2.3356778084217319E-3</v>
      </c>
    </row>
    <row r="394" spans="1:7" x14ac:dyDescent="0.2">
      <c r="A394" t="s">
        <v>575</v>
      </c>
      <c r="B394">
        <v>20.12</v>
      </c>
      <c r="C394" s="105">
        <v>9.9502487562186923E-4</v>
      </c>
      <c r="E394" s="149">
        <v>45029</v>
      </c>
      <c r="F394" s="150">
        <v>7520.7</v>
      </c>
      <c r="G394">
        <v>-5.2510449182582696E-3</v>
      </c>
    </row>
    <row r="395" spans="1:7" x14ac:dyDescent="0.2">
      <c r="A395" t="s">
        <v>576</v>
      </c>
      <c r="B395">
        <v>20.13</v>
      </c>
      <c r="C395" s="105">
        <v>4.9701789264403626E-4</v>
      </c>
      <c r="E395" s="149">
        <v>45028</v>
      </c>
      <c r="F395" s="150">
        <v>7538.9</v>
      </c>
      <c r="G395">
        <v>2.4199875011634312E-3</v>
      </c>
    </row>
    <row r="396" spans="1:7" x14ac:dyDescent="0.2">
      <c r="A396" t="s">
        <v>577</v>
      </c>
      <c r="B396">
        <v>19.88</v>
      </c>
      <c r="C396" s="105">
        <v>-1.2419274714356682E-2</v>
      </c>
      <c r="E396" s="149">
        <v>45027</v>
      </c>
      <c r="F396" s="150">
        <v>7504.2</v>
      </c>
      <c r="G396">
        <v>-4.6027935109896429E-3</v>
      </c>
    </row>
    <row r="397" spans="1:7" x14ac:dyDescent="0.2">
      <c r="A397" t="s">
        <v>578</v>
      </c>
      <c r="B397">
        <v>19.41</v>
      </c>
      <c r="C397" s="105">
        <v>-2.3641851106639782E-2</v>
      </c>
      <c r="E397" s="149">
        <v>45022</v>
      </c>
      <c r="F397" s="150">
        <v>7412</v>
      </c>
      <c r="G397">
        <v>-1.2286452919698279E-2</v>
      </c>
    </row>
    <row r="398" spans="1:7" x14ac:dyDescent="0.2">
      <c r="A398" t="s">
        <v>579</v>
      </c>
      <c r="B398">
        <v>19.84</v>
      </c>
      <c r="C398" s="105">
        <v>2.2153529108706837E-2</v>
      </c>
      <c r="E398" s="149">
        <v>45021</v>
      </c>
      <c r="F398" s="150">
        <v>7434.3</v>
      </c>
      <c r="G398">
        <v>3.0086346465191829E-3</v>
      </c>
    </row>
    <row r="399" spans="1:7" x14ac:dyDescent="0.2">
      <c r="A399" t="s">
        <v>580</v>
      </c>
      <c r="B399">
        <v>19.690000000000001</v>
      </c>
      <c r="C399" s="105">
        <v>-7.5604838709676702E-3</v>
      </c>
      <c r="E399" s="149">
        <v>45020</v>
      </c>
      <c r="F399" s="150">
        <v>7431.5</v>
      </c>
      <c r="G399">
        <v>-3.7663263521786611E-4</v>
      </c>
    </row>
    <row r="400" spans="1:7" x14ac:dyDescent="0.2">
      <c r="A400" t="s">
        <v>581</v>
      </c>
      <c r="B400">
        <v>19.350000000000001</v>
      </c>
      <c r="C400" s="105">
        <v>-1.7267648552564744E-2</v>
      </c>
      <c r="E400" s="149">
        <v>45019</v>
      </c>
      <c r="F400" s="150">
        <v>7416.4</v>
      </c>
      <c r="G400">
        <v>-2.0318912736325594E-3</v>
      </c>
    </row>
    <row r="401" spans="1:7" x14ac:dyDescent="0.2">
      <c r="A401" t="s">
        <v>582</v>
      </c>
      <c r="B401">
        <v>18.77</v>
      </c>
      <c r="C401" s="105">
        <v>-2.9974160206718441E-2</v>
      </c>
      <c r="E401" s="149">
        <v>45016</v>
      </c>
      <c r="F401" s="150">
        <v>7373.3</v>
      </c>
      <c r="G401">
        <v>-5.8114449058841834E-3</v>
      </c>
    </row>
    <row r="402" spans="1:7" x14ac:dyDescent="0.2">
      <c r="A402" t="s">
        <v>583</v>
      </c>
      <c r="B402">
        <v>18.579999999999998</v>
      </c>
      <c r="C402" s="105">
        <v>-1.0122535961640984E-2</v>
      </c>
      <c r="E402" s="149">
        <v>45015</v>
      </c>
      <c r="F402" s="150">
        <v>7312.4</v>
      </c>
      <c r="G402">
        <v>-8.2595310105380969E-3</v>
      </c>
    </row>
    <row r="403" spans="1:7" x14ac:dyDescent="0.2">
      <c r="A403" t="s">
        <v>584</v>
      </c>
      <c r="B403">
        <v>18.329999999999998</v>
      </c>
      <c r="C403" s="105">
        <v>-1.3455328310010766E-2</v>
      </c>
      <c r="E403" s="149">
        <v>45014</v>
      </c>
      <c r="F403" s="150">
        <v>7236</v>
      </c>
      <c r="G403">
        <v>-1.044800612657946E-2</v>
      </c>
    </row>
    <row r="404" spans="1:7" x14ac:dyDescent="0.2">
      <c r="A404" t="s">
        <v>585</v>
      </c>
      <c r="B404">
        <v>18.309999999999999</v>
      </c>
      <c r="C404" s="105">
        <v>-1.0911074740861744E-3</v>
      </c>
      <c r="E404" s="149">
        <v>45013</v>
      </c>
      <c r="F404" s="150">
        <v>7219.4</v>
      </c>
      <c r="G404">
        <v>-2.2940851299060759E-3</v>
      </c>
    </row>
    <row r="405" spans="1:7" x14ac:dyDescent="0.2">
      <c r="A405" t="s">
        <v>586</v>
      </c>
      <c r="B405">
        <v>18.2</v>
      </c>
      <c r="C405" s="105">
        <v>-6.0076460950300075E-3</v>
      </c>
      <c r="E405" s="149">
        <v>45012</v>
      </c>
      <c r="F405" s="150">
        <v>7143.8</v>
      </c>
      <c r="G405">
        <v>-1.0471784358810906E-2</v>
      </c>
    </row>
    <row r="406" spans="1:7" x14ac:dyDescent="0.2">
      <c r="A406" t="s">
        <v>587</v>
      </c>
      <c r="B406">
        <v>18.16</v>
      </c>
      <c r="C406" s="105">
        <v>-2.197802197802151E-3</v>
      </c>
      <c r="E406" s="149">
        <v>45009</v>
      </c>
      <c r="F406" s="150">
        <v>7137.6</v>
      </c>
      <c r="G406">
        <v>-8.6788543912201044E-4</v>
      </c>
    </row>
    <row r="407" spans="1:7" x14ac:dyDescent="0.2">
      <c r="A407" t="s">
        <v>588</v>
      </c>
      <c r="B407">
        <v>18.36</v>
      </c>
      <c r="C407" s="105">
        <v>1.1013215859030798E-2</v>
      </c>
      <c r="E407" s="149">
        <v>45008</v>
      </c>
      <c r="F407" s="150">
        <v>7148.6</v>
      </c>
      <c r="G407">
        <v>1.541134274826272E-3</v>
      </c>
    </row>
    <row r="408" spans="1:7" x14ac:dyDescent="0.2">
      <c r="A408" t="s">
        <v>589</v>
      </c>
      <c r="B408">
        <v>18.88</v>
      </c>
      <c r="C408" s="105">
        <v>2.8322440087145948E-2</v>
      </c>
      <c r="E408" s="149">
        <v>45007</v>
      </c>
      <c r="F408" s="150">
        <v>7200.7</v>
      </c>
      <c r="G408">
        <v>7.2881403351704463E-3</v>
      </c>
    </row>
    <row r="409" spans="1:7" x14ac:dyDescent="0.2">
      <c r="A409" t="s">
        <v>590</v>
      </c>
      <c r="B409">
        <v>18.760000000000002</v>
      </c>
      <c r="C409" s="105">
        <v>-6.3559322033896956E-3</v>
      </c>
      <c r="E409" s="149">
        <v>45006</v>
      </c>
      <c r="F409" s="150">
        <v>7142.2</v>
      </c>
      <c r="G409">
        <v>-8.1242101462357837E-3</v>
      </c>
    </row>
    <row r="410" spans="1:7" x14ac:dyDescent="0.2">
      <c r="A410" t="s">
        <v>591</v>
      </c>
      <c r="B410">
        <v>18.420000000000002</v>
      </c>
      <c r="C410" s="105">
        <v>-1.8123667377398713E-2</v>
      </c>
      <c r="E410" s="149">
        <v>45005</v>
      </c>
      <c r="F410" s="150">
        <v>7085.1</v>
      </c>
      <c r="G410">
        <v>-7.9947355156673658E-3</v>
      </c>
    </row>
    <row r="411" spans="1:7" x14ac:dyDescent="0.2">
      <c r="A411" t="s">
        <v>592</v>
      </c>
      <c r="B411">
        <v>18.78</v>
      </c>
      <c r="C411" s="105">
        <v>1.9543973941368045E-2</v>
      </c>
      <c r="E411" s="149">
        <v>45002</v>
      </c>
      <c r="F411" s="150">
        <v>7188.2</v>
      </c>
      <c r="G411">
        <v>1.4551664761259468E-2</v>
      </c>
    </row>
    <row r="412" spans="1:7" x14ac:dyDescent="0.2">
      <c r="A412" t="s">
        <v>593</v>
      </c>
      <c r="B412">
        <v>18.670000000000002</v>
      </c>
      <c r="C412" s="105">
        <v>-5.8572949946751555E-3</v>
      </c>
      <c r="E412" s="149">
        <v>45001</v>
      </c>
      <c r="F412" s="150">
        <v>7152.7</v>
      </c>
      <c r="G412">
        <v>-4.9386494532706379E-3</v>
      </c>
    </row>
    <row r="413" spans="1:7" x14ac:dyDescent="0.2">
      <c r="A413" t="s">
        <v>594</v>
      </c>
      <c r="B413">
        <v>18.89</v>
      </c>
      <c r="C413" s="105">
        <v>1.178361006963036E-2</v>
      </c>
      <c r="E413" s="149">
        <v>45000</v>
      </c>
      <c r="F413" s="150">
        <v>7263.1</v>
      </c>
      <c r="G413">
        <v>1.5434730940763704E-2</v>
      </c>
    </row>
    <row r="414" spans="1:7" x14ac:dyDescent="0.2">
      <c r="A414" t="s">
        <v>595</v>
      </c>
      <c r="B414">
        <v>18.82</v>
      </c>
      <c r="C414" s="105">
        <v>-3.7056643726839748E-3</v>
      </c>
      <c r="E414" s="149">
        <v>44999</v>
      </c>
      <c r="F414" s="150">
        <v>7201.1</v>
      </c>
      <c r="G414">
        <v>-8.5362999270284026E-3</v>
      </c>
    </row>
    <row r="415" spans="1:7" x14ac:dyDescent="0.2">
      <c r="A415" t="s">
        <v>596</v>
      </c>
      <c r="B415">
        <v>18.649999999999999</v>
      </c>
      <c r="C415" s="105">
        <v>-9.0329436769395165E-3</v>
      </c>
      <c r="E415" s="149">
        <v>44998</v>
      </c>
      <c r="F415" s="150">
        <v>7311</v>
      </c>
      <c r="G415">
        <v>1.5261557262084908E-2</v>
      </c>
    </row>
    <row r="416" spans="1:7" x14ac:dyDescent="0.2">
      <c r="A416" t="s">
        <v>597</v>
      </c>
      <c r="B416">
        <v>18.77</v>
      </c>
      <c r="C416" s="105">
        <v>6.434316353887453E-3</v>
      </c>
      <c r="E416" s="149">
        <v>44995</v>
      </c>
      <c r="F416" s="150">
        <v>7348.2</v>
      </c>
      <c r="G416">
        <v>5.0882232252769553E-3</v>
      </c>
    </row>
    <row r="417" spans="1:7" x14ac:dyDescent="0.2">
      <c r="A417" t="s">
        <v>598</v>
      </c>
      <c r="B417">
        <v>19.28</v>
      </c>
      <c r="C417" s="105">
        <v>2.7171017581246754E-2</v>
      </c>
      <c r="E417" s="149">
        <v>44994</v>
      </c>
      <c r="F417" s="150">
        <v>7514.4</v>
      </c>
      <c r="G417">
        <v>2.2617783947089059E-2</v>
      </c>
    </row>
    <row r="418" spans="1:7" x14ac:dyDescent="0.2">
      <c r="A418" t="s">
        <v>599</v>
      </c>
      <c r="B418">
        <v>19.89</v>
      </c>
      <c r="C418" s="105">
        <v>3.1639004149377564E-2</v>
      </c>
      <c r="E418" s="149">
        <v>44993</v>
      </c>
      <c r="F418" s="150">
        <v>7503.9</v>
      </c>
      <c r="G418">
        <v>-1.3973171510699457E-3</v>
      </c>
    </row>
    <row r="419" spans="1:7" x14ac:dyDescent="0.2">
      <c r="A419" t="s">
        <v>600</v>
      </c>
      <c r="B419">
        <v>20.13</v>
      </c>
      <c r="C419" s="105">
        <v>1.2066365007541399E-2</v>
      </c>
      <c r="E419" s="149">
        <v>44992</v>
      </c>
      <c r="F419" s="150">
        <v>7562.7</v>
      </c>
      <c r="G419">
        <v>7.8359253188342304E-3</v>
      </c>
    </row>
    <row r="420" spans="1:7" x14ac:dyDescent="0.2">
      <c r="A420" t="s">
        <v>601</v>
      </c>
      <c r="B420">
        <v>20.11</v>
      </c>
      <c r="C420" s="105">
        <v>-9.9354197714851349E-4</v>
      </c>
      <c r="E420" s="149">
        <v>44991</v>
      </c>
      <c r="F420" s="150">
        <v>7525.7</v>
      </c>
      <c r="G420">
        <v>-4.8924325968238858E-3</v>
      </c>
    </row>
    <row r="421" spans="1:7" x14ac:dyDescent="0.2">
      <c r="A421" t="s">
        <v>602</v>
      </c>
      <c r="B421">
        <v>19.47</v>
      </c>
      <c r="C421" s="105">
        <v>-3.1824962705121862E-2</v>
      </c>
      <c r="E421" s="149">
        <v>44988</v>
      </c>
      <c r="F421" s="150">
        <v>7484</v>
      </c>
      <c r="G421">
        <v>-5.541012796151829E-3</v>
      </c>
    </row>
    <row r="422" spans="1:7" x14ac:dyDescent="0.2">
      <c r="A422" t="s">
        <v>603</v>
      </c>
      <c r="B422">
        <v>19.52</v>
      </c>
      <c r="C422" s="105">
        <v>2.5680534155110794E-3</v>
      </c>
      <c r="E422" s="149">
        <v>44987</v>
      </c>
      <c r="F422" s="150">
        <v>7460</v>
      </c>
      <c r="G422">
        <v>-3.206841261357563E-3</v>
      </c>
    </row>
    <row r="423" spans="1:7" x14ac:dyDescent="0.2">
      <c r="A423" t="s">
        <v>604</v>
      </c>
      <c r="B423">
        <v>20.170000000000002</v>
      </c>
      <c r="C423" s="105">
        <v>3.3299180327868966E-2</v>
      </c>
      <c r="E423" s="149">
        <v>44986</v>
      </c>
      <c r="F423" s="150">
        <v>7482.6</v>
      </c>
      <c r="G423">
        <v>3.0294906166220326E-3</v>
      </c>
    </row>
    <row r="424" spans="1:7" x14ac:dyDescent="0.2">
      <c r="A424" t="s">
        <v>605</v>
      </c>
      <c r="B424">
        <v>20.62</v>
      </c>
      <c r="C424" s="105">
        <v>2.2310361923648946E-2</v>
      </c>
      <c r="E424" s="149">
        <v>44985</v>
      </c>
      <c r="F424" s="150">
        <v>7458</v>
      </c>
      <c r="G424">
        <v>-3.2876272953252027E-3</v>
      </c>
    </row>
    <row r="425" spans="1:7" x14ac:dyDescent="0.2">
      <c r="A425" t="s">
        <v>606</v>
      </c>
      <c r="B425">
        <v>21.02</v>
      </c>
      <c r="C425" s="105">
        <v>1.9398642095053275E-2</v>
      </c>
      <c r="E425" s="149">
        <v>44984</v>
      </c>
      <c r="F425" s="150">
        <v>7419.6</v>
      </c>
      <c r="G425">
        <v>-5.1488334674174895E-3</v>
      </c>
    </row>
    <row r="426" spans="1:7" x14ac:dyDescent="0.2">
      <c r="A426" t="s">
        <v>607</v>
      </c>
      <c r="B426">
        <v>21.03</v>
      </c>
      <c r="C426" s="105">
        <v>4.7573739295916098E-4</v>
      </c>
      <c r="E426" s="149">
        <v>44981</v>
      </c>
      <c r="F426" s="150">
        <v>7512.7</v>
      </c>
      <c r="G426">
        <v>1.2547846245080523E-2</v>
      </c>
    </row>
    <row r="427" spans="1:7" x14ac:dyDescent="0.2">
      <c r="A427" t="s">
        <v>608</v>
      </c>
      <c r="B427">
        <v>20.420000000000002</v>
      </c>
      <c r="C427" s="105">
        <v>-2.9006181645268636E-2</v>
      </c>
      <c r="E427" s="149">
        <v>44980</v>
      </c>
      <c r="F427" s="150">
        <v>7492.5</v>
      </c>
      <c r="G427">
        <v>-2.6887803319711715E-3</v>
      </c>
    </row>
    <row r="428" spans="1:7" x14ac:dyDescent="0.2">
      <c r="A428" t="s">
        <v>609</v>
      </c>
      <c r="B428">
        <v>20.309999999999999</v>
      </c>
      <c r="C428" s="105">
        <v>-5.3868756121451013E-3</v>
      </c>
      <c r="E428" s="149">
        <v>44979</v>
      </c>
      <c r="F428" s="150">
        <v>7517</v>
      </c>
      <c r="G428">
        <v>3.2699366032699368E-3</v>
      </c>
    </row>
    <row r="429" spans="1:7" x14ac:dyDescent="0.2">
      <c r="A429" t="s">
        <v>610</v>
      </c>
      <c r="B429">
        <v>20.69</v>
      </c>
      <c r="C429" s="105">
        <v>1.8709995076317213E-2</v>
      </c>
      <c r="E429" s="149">
        <v>44978</v>
      </c>
      <c r="F429" s="150">
        <v>7544.6</v>
      </c>
      <c r="G429">
        <v>3.6716775309299406E-3</v>
      </c>
    </row>
    <row r="430" spans="1:7" x14ac:dyDescent="0.2">
      <c r="A430" t="s">
        <v>611</v>
      </c>
      <c r="B430">
        <v>20.7</v>
      </c>
      <c r="C430" s="105">
        <v>4.8332527791193863E-4</v>
      </c>
      <c r="E430" s="149">
        <v>44977</v>
      </c>
      <c r="F430" s="150">
        <v>7552.5</v>
      </c>
      <c r="G430">
        <v>1.0471065397767458E-3</v>
      </c>
    </row>
    <row r="431" spans="1:7" x14ac:dyDescent="0.2">
      <c r="A431" t="s">
        <v>612</v>
      </c>
      <c r="B431">
        <v>20.440000000000001</v>
      </c>
      <c r="C431" s="105">
        <v>-1.2560386473429856E-2</v>
      </c>
      <c r="E431" s="149">
        <v>44974</v>
      </c>
      <c r="F431" s="150">
        <v>7552.2</v>
      </c>
      <c r="G431">
        <v>-3.972194637539648E-5</v>
      </c>
    </row>
    <row r="432" spans="1:7" x14ac:dyDescent="0.2">
      <c r="A432" t="s">
        <v>613</v>
      </c>
      <c r="B432">
        <v>20.69</v>
      </c>
      <c r="C432" s="105">
        <v>1.223091976516634E-2</v>
      </c>
      <c r="E432" s="149">
        <v>44973</v>
      </c>
      <c r="F432" s="150">
        <v>7620.7</v>
      </c>
      <c r="G432">
        <v>9.0702047085617441E-3</v>
      </c>
    </row>
    <row r="433" spans="1:7" x14ac:dyDescent="0.2">
      <c r="A433" t="s">
        <v>614</v>
      </c>
      <c r="B433">
        <v>19.89</v>
      </c>
      <c r="C433" s="105">
        <v>-3.8666022232962817E-2</v>
      </c>
      <c r="E433" s="149">
        <v>44972</v>
      </c>
      <c r="F433" s="150">
        <v>7559.1</v>
      </c>
      <c r="G433">
        <v>-8.0832469458185542E-3</v>
      </c>
    </row>
    <row r="434" spans="1:7" x14ac:dyDescent="0.2">
      <c r="A434" t="s">
        <v>615</v>
      </c>
      <c r="B434">
        <v>20.170000000000002</v>
      </c>
      <c r="C434" s="105">
        <v>1.4077425842131782E-2</v>
      </c>
      <c r="E434" s="149">
        <v>44971</v>
      </c>
      <c r="F434" s="150">
        <v>7628.6</v>
      </c>
      <c r="G434">
        <v>9.1942162426743926E-3</v>
      </c>
    </row>
    <row r="435" spans="1:7" x14ac:dyDescent="0.2">
      <c r="A435" t="s">
        <v>616</v>
      </c>
      <c r="B435">
        <v>21.16</v>
      </c>
      <c r="C435" s="105">
        <v>4.908279623202768E-2</v>
      </c>
      <c r="E435" s="149">
        <v>44970</v>
      </c>
      <c r="F435" s="150">
        <v>7614.5</v>
      </c>
      <c r="G435">
        <v>-1.8483076842409306E-3</v>
      </c>
    </row>
    <row r="436" spans="1:7" x14ac:dyDescent="0.2">
      <c r="A436" t="s">
        <v>617</v>
      </c>
      <c r="B436">
        <v>21.31</v>
      </c>
      <c r="C436" s="105">
        <v>7.0888468809073048E-3</v>
      </c>
      <c r="E436" s="149">
        <v>44967</v>
      </c>
      <c r="F436" s="150">
        <v>7631.1</v>
      </c>
      <c r="G436">
        <v>2.1800512180708337E-3</v>
      </c>
    </row>
    <row r="437" spans="1:7" x14ac:dyDescent="0.2">
      <c r="A437" t="s">
        <v>618</v>
      </c>
      <c r="B437">
        <v>21.64</v>
      </c>
      <c r="C437" s="105">
        <v>1.5485687470671134E-2</v>
      </c>
      <c r="E437" s="149">
        <v>44966</v>
      </c>
      <c r="F437" s="150">
        <v>7695.8</v>
      </c>
      <c r="G437">
        <v>8.4784631311344127E-3</v>
      </c>
    </row>
    <row r="438" spans="1:7" x14ac:dyDescent="0.2">
      <c r="A438" t="s">
        <v>619</v>
      </c>
      <c r="B438">
        <v>21.73</v>
      </c>
      <c r="C438" s="105">
        <v>4.1589648798521194E-3</v>
      </c>
      <c r="E438" s="149">
        <v>44965</v>
      </c>
      <c r="F438" s="150">
        <v>7740.5</v>
      </c>
      <c r="G438">
        <v>5.8083630031965251E-3</v>
      </c>
    </row>
    <row r="439" spans="1:7" x14ac:dyDescent="0.2">
      <c r="A439" t="s">
        <v>620</v>
      </c>
      <c r="B439">
        <v>21.47</v>
      </c>
      <c r="C439" s="105">
        <v>-1.1965025310630536E-2</v>
      </c>
      <c r="E439" s="149">
        <v>44964</v>
      </c>
      <c r="F439" s="150">
        <v>7713.1</v>
      </c>
      <c r="G439">
        <v>-3.5398230088495106E-3</v>
      </c>
    </row>
    <row r="440" spans="1:7" x14ac:dyDescent="0.2">
      <c r="A440" t="s">
        <v>621</v>
      </c>
      <c r="B440">
        <v>21.95</v>
      </c>
      <c r="C440" s="105">
        <v>2.2356776897997227E-2</v>
      </c>
      <c r="E440" s="149">
        <v>44963</v>
      </c>
      <c r="F440" s="150">
        <v>7745.9</v>
      </c>
      <c r="G440">
        <v>4.252505477693699E-3</v>
      </c>
    </row>
    <row r="441" spans="1:7" x14ac:dyDescent="0.2">
      <c r="A441" t="s">
        <v>622</v>
      </c>
      <c r="B441">
        <v>22.24</v>
      </c>
      <c r="C441" s="105">
        <v>1.3211845102505657E-2</v>
      </c>
      <c r="E441" s="149">
        <v>44960</v>
      </c>
      <c r="F441" s="150">
        <v>7771.8</v>
      </c>
      <c r="G441">
        <v>3.3437044113660834E-3</v>
      </c>
    </row>
    <row r="442" spans="1:7" x14ac:dyDescent="0.2">
      <c r="A442" t="s">
        <v>623</v>
      </c>
      <c r="B442">
        <v>22.73</v>
      </c>
      <c r="C442" s="105">
        <v>2.2032374100719516E-2</v>
      </c>
      <c r="E442" s="149">
        <v>44959</v>
      </c>
      <c r="F442" s="150">
        <v>7728.5</v>
      </c>
      <c r="G442">
        <v>-5.5714248951337121E-3</v>
      </c>
    </row>
    <row r="443" spans="1:7" x14ac:dyDescent="0.2">
      <c r="A443" t="s">
        <v>624</v>
      </c>
      <c r="B443">
        <v>22.3</v>
      </c>
      <c r="C443" s="105">
        <v>-1.8917729872415297E-2</v>
      </c>
      <c r="E443" s="149">
        <v>44958</v>
      </c>
      <c r="F443" s="150">
        <v>7709.7</v>
      </c>
      <c r="G443">
        <v>-2.4325548295270985E-3</v>
      </c>
    </row>
    <row r="444" spans="1:7" x14ac:dyDescent="0.2">
      <c r="A444" t="s">
        <v>625</v>
      </c>
      <c r="B444">
        <v>22.04</v>
      </c>
      <c r="C444" s="105">
        <v>-1.1659192825112177E-2</v>
      </c>
      <c r="E444" s="149">
        <v>44957</v>
      </c>
      <c r="F444" s="150">
        <v>7686.1</v>
      </c>
      <c r="G444">
        <v>-3.0610789006056596E-3</v>
      </c>
    </row>
    <row r="445" spans="1:7" x14ac:dyDescent="0.2">
      <c r="A445" t="s">
        <v>626</v>
      </c>
      <c r="B445">
        <v>21.8</v>
      </c>
      <c r="C445" s="105">
        <v>-1.088929219600719E-2</v>
      </c>
      <c r="E445" s="149">
        <v>44956</v>
      </c>
      <c r="F445" s="150">
        <v>7700.4</v>
      </c>
      <c r="G445">
        <v>1.8605014246495975E-3</v>
      </c>
    </row>
    <row r="446" spans="1:7" x14ac:dyDescent="0.2">
      <c r="A446" t="s">
        <v>627</v>
      </c>
      <c r="B446">
        <v>21.79</v>
      </c>
      <c r="C446" s="105">
        <v>-4.5871559633034692E-4</v>
      </c>
      <c r="E446" s="149">
        <v>44953</v>
      </c>
      <c r="F446" s="150">
        <v>7709.5</v>
      </c>
      <c r="G446">
        <v>1.181756791855016E-3</v>
      </c>
    </row>
    <row r="447" spans="1:7" x14ac:dyDescent="0.2">
      <c r="A447" t="s">
        <v>628</v>
      </c>
      <c r="B447">
        <v>21.81</v>
      </c>
      <c r="C447" s="105">
        <v>9.1785222579162805E-4</v>
      </c>
      <c r="E447" s="149">
        <v>44951</v>
      </c>
      <c r="F447" s="150">
        <v>7688</v>
      </c>
      <c r="G447">
        <v>-2.7887671055191647E-3</v>
      </c>
    </row>
    <row r="448" spans="1:7" x14ac:dyDescent="0.2">
      <c r="A448" t="s">
        <v>629</v>
      </c>
      <c r="B448">
        <v>21.83</v>
      </c>
      <c r="C448" s="105">
        <v>9.170105456212551E-4</v>
      </c>
      <c r="E448" s="149">
        <v>44950</v>
      </c>
      <c r="F448" s="150">
        <v>7710.5</v>
      </c>
      <c r="G448">
        <v>2.9266389177939646E-3</v>
      </c>
    </row>
    <row r="449" spans="1:7" x14ac:dyDescent="0.2">
      <c r="A449" t="s">
        <v>630</v>
      </c>
      <c r="B449">
        <v>20.3</v>
      </c>
      <c r="C449" s="105">
        <v>-7.0087036188730995E-2</v>
      </c>
      <c r="E449" s="149">
        <v>44949</v>
      </c>
      <c r="F449" s="150">
        <v>7674.2</v>
      </c>
      <c r="G449">
        <v>-4.7078658971532565E-3</v>
      </c>
    </row>
    <row r="450" spans="1:7" x14ac:dyDescent="0.2">
      <c r="A450" t="s">
        <v>631</v>
      </c>
      <c r="B450">
        <v>20.11</v>
      </c>
      <c r="C450" s="105">
        <v>-9.3596059113301121E-3</v>
      </c>
      <c r="E450" s="149">
        <v>44946</v>
      </c>
      <c r="F450" s="150">
        <v>7666.3</v>
      </c>
      <c r="G450">
        <v>-1.0294232623595471E-3</v>
      </c>
    </row>
    <row r="451" spans="1:7" x14ac:dyDescent="0.2">
      <c r="A451" t="s">
        <v>632</v>
      </c>
      <c r="B451">
        <v>20.329999999999998</v>
      </c>
      <c r="C451" s="105">
        <v>1.0939830929885572E-2</v>
      </c>
      <c r="E451" s="149">
        <v>44945</v>
      </c>
      <c r="F451" s="150">
        <v>7648.4</v>
      </c>
      <c r="G451">
        <v>-2.3348942775524759E-3</v>
      </c>
    </row>
    <row r="452" spans="1:7" x14ac:dyDescent="0.2">
      <c r="A452" t="s">
        <v>633</v>
      </c>
      <c r="B452">
        <v>20.59</v>
      </c>
      <c r="C452" s="105">
        <v>1.2788981800295208E-2</v>
      </c>
      <c r="E452" s="149">
        <v>44944</v>
      </c>
      <c r="F452" s="150">
        <v>7609.5</v>
      </c>
      <c r="G452">
        <v>-5.0860310653208039E-3</v>
      </c>
    </row>
    <row r="453" spans="1:7" x14ac:dyDescent="0.2">
      <c r="A453" t="s">
        <v>634</v>
      </c>
      <c r="B453">
        <v>20.38</v>
      </c>
      <c r="C453" s="105">
        <v>-1.0199125789218109E-2</v>
      </c>
      <c r="E453" s="149">
        <v>44943</v>
      </c>
      <c r="F453" s="150">
        <v>7597.6</v>
      </c>
      <c r="G453">
        <v>-1.5638346803337456E-3</v>
      </c>
    </row>
    <row r="454" spans="1:7" x14ac:dyDescent="0.2">
      <c r="A454" t="s">
        <v>635</v>
      </c>
      <c r="B454">
        <v>20.39</v>
      </c>
      <c r="C454" s="105">
        <v>4.9067713444561156E-4</v>
      </c>
      <c r="E454" s="149">
        <v>44942</v>
      </c>
      <c r="F454" s="150">
        <v>7605</v>
      </c>
      <c r="G454">
        <v>9.7399178688001948E-4</v>
      </c>
    </row>
    <row r="455" spans="1:7" x14ac:dyDescent="0.2">
      <c r="A455" t="s">
        <v>636</v>
      </c>
      <c r="B455">
        <v>19.760000000000002</v>
      </c>
      <c r="C455" s="105">
        <v>-3.0897498773908728E-2</v>
      </c>
      <c r="E455" s="149">
        <v>44939</v>
      </c>
      <c r="F455" s="150">
        <v>7540.1</v>
      </c>
      <c r="G455">
        <v>-8.5338593030900248E-3</v>
      </c>
    </row>
    <row r="456" spans="1:7" x14ac:dyDescent="0.2">
      <c r="A456" t="s">
        <v>637</v>
      </c>
      <c r="B456">
        <v>19.73</v>
      </c>
      <c r="C456" s="105">
        <v>-1.5182186234818389E-3</v>
      </c>
      <c r="E456" s="149">
        <v>44938</v>
      </c>
      <c r="F456" s="150">
        <v>7489.9</v>
      </c>
      <c r="G456">
        <v>-6.6577366347927384E-3</v>
      </c>
    </row>
    <row r="457" spans="1:7" x14ac:dyDescent="0.2">
      <c r="A457" t="s">
        <v>638</v>
      </c>
      <c r="B457">
        <v>19.8</v>
      </c>
      <c r="C457" s="105">
        <v>3.5478966041561219E-3</v>
      </c>
      <c r="E457" s="149">
        <v>44937</v>
      </c>
      <c r="F457" s="150">
        <v>7406.4</v>
      </c>
      <c r="G457">
        <v>-1.1148346439872362E-2</v>
      </c>
    </row>
    <row r="458" spans="1:7" x14ac:dyDescent="0.2">
      <c r="A458" t="s">
        <v>639</v>
      </c>
      <c r="B458">
        <v>19.579999999999998</v>
      </c>
      <c r="C458" s="105">
        <v>-1.1111111111111233E-2</v>
      </c>
      <c r="E458" s="149">
        <v>44936</v>
      </c>
      <c r="F458" s="150">
        <v>7336.6</v>
      </c>
      <c r="G458">
        <v>-9.424281702311417E-3</v>
      </c>
    </row>
    <row r="459" spans="1:7" x14ac:dyDescent="0.2">
      <c r="A459" t="s">
        <v>640</v>
      </c>
      <c r="B459">
        <v>19.34</v>
      </c>
      <c r="C459" s="105">
        <v>-1.2257405515832404E-2</v>
      </c>
      <c r="E459" s="149">
        <v>44935</v>
      </c>
      <c r="F459" s="150">
        <v>7355.8</v>
      </c>
      <c r="G459">
        <v>2.617016056483905E-3</v>
      </c>
    </row>
    <row r="460" spans="1:7" x14ac:dyDescent="0.2">
      <c r="A460" t="s">
        <v>641</v>
      </c>
      <c r="B460">
        <v>19.29</v>
      </c>
      <c r="C460" s="105">
        <v>-2.5853154084798714E-3</v>
      </c>
      <c r="E460" s="149">
        <v>44932</v>
      </c>
      <c r="F460" s="150">
        <v>7308.8</v>
      </c>
      <c r="G460">
        <v>-6.3895157562739602E-3</v>
      </c>
    </row>
    <row r="461" spans="1:7" x14ac:dyDescent="0.2">
      <c r="A461" t="s">
        <v>642</v>
      </c>
      <c r="B461">
        <v>19.21</v>
      </c>
      <c r="C461" s="105">
        <v>-4.1472265422497819E-3</v>
      </c>
      <c r="E461" s="149">
        <v>44931</v>
      </c>
      <c r="F461" s="150">
        <v>7259.3</v>
      </c>
      <c r="G461">
        <v>-6.7726576182136605E-3</v>
      </c>
    </row>
    <row r="462" spans="1:7" x14ac:dyDescent="0.2">
      <c r="A462" t="s">
        <v>643</v>
      </c>
      <c r="B462">
        <v>19.13</v>
      </c>
      <c r="C462" s="105">
        <v>-4.1644976574701639E-3</v>
      </c>
      <c r="E462" s="149">
        <v>44930</v>
      </c>
      <c r="F462" s="150">
        <v>7249.1</v>
      </c>
      <c r="G462">
        <v>-1.4050941550837984E-3</v>
      </c>
    </row>
    <row r="463" spans="1:7" x14ac:dyDescent="0.2">
      <c r="A463" t="s">
        <v>644</v>
      </c>
      <c r="B463">
        <v>18.21</v>
      </c>
      <c r="C463" s="105">
        <v>-4.8092002090956522E-2</v>
      </c>
      <c r="E463" s="149">
        <v>44929</v>
      </c>
      <c r="F463" s="150">
        <v>7131.1</v>
      </c>
      <c r="G463">
        <v>-1.6277882771654411E-2</v>
      </c>
    </row>
    <row r="464" spans="1:7" x14ac:dyDescent="0.2">
      <c r="A464" t="s">
        <v>645</v>
      </c>
      <c r="B464">
        <v>17.89</v>
      </c>
      <c r="C464" s="105">
        <v>-1.7572762218561244E-2</v>
      </c>
      <c r="E464" s="149">
        <v>44925</v>
      </c>
      <c r="F464" s="150">
        <v>7221.7</v>
      </c>
      <c r="G464">
        <v>1.2704912285622056E-2</v>
      </c>
    </row>
    <row r="465" spans="1:7" x14ac:dyDescent="0.2">
      <c r="A465" t="s">
        <v>646</v>
      </c>
      <c r="B465">
        <v>17.670000000000002</v>
      </c>
      <c r="C465" s="105">
        <v>-1.2297372833985402E-2</v>
      </c>
      <c r="E465" s="149">
        <v>44924</v>
      </c>
      <c r="F465" s="150">
        <v>7197.3</v>
      </c>
      <c r="G465">
        <v>-3.3787058448841185E-3</v>
      </c>
    </row>
    <row r="466" spans="1:7" x14ac:dyDescent="0.2">
      <c r="A466" t="s">
        <v>647</v>
      </c>
      <c r="B466">
        <v>17.66</v>
      </c>
      <c r="C466" s="105">
        <v>-5.6593095642340475E-4</v>
      </c>
      <c r="E466" s="149">
        <v>44923</v>
      </c>
      <c r="F466" s="150">
        <v>7262.2</v>
      </c>
      <c r="G466">
        <v>9.0172703652758174E-3</v>
      </c>
    </row>
    <row r="467" spans="1:7" x14ac:dyDescent="0.2">
      <c r="A467" t="s">
        <v>648</v>
      </c>
      <c r="B467">
        <v>17.59</v>
      </c>
      <c r="C467" s="105">
        <v>-3.9637599093997897E-3</v>
      </c>
      <c r="E467" s="149">
        <v>44918</v>
      </c>
      <c r="F467" s="150">
        <v>7287.8</v>
      </c>
      <c r="G467">
        <v>3.5251025859932752E-3</v>
      </c>
    </row>
    <row r="468" spans="1:7" x14ac:dyDescent="0.2">
      <c r="A468" t="s">
        <v>649</v>
      </c>
      <c r="B468">
        <v>18.2</v>
      </c>
      <c r="C468" s="105">
        <v>3.4678794769755508E-2</v>
      </c>
      <c r="E468" s="149">
        <v>44917</v>
      </c>
      <c r="F468" s="150">
        <v>7335.2</v>
      </c>
      <c r="G468">
        <v>6.5040204176842987E-3</v>
      </c>
    </row>
    <row r="469" spans="1:7" x14ac:dyDescent="0.2">
      <c r="A469" t="s">
        <v>650</v>
      </c>
      <c r="B469">
        <v>17.559999999999999</v>
      </c>
      <c r="C469" s="105">
        <v>-3.5164835164835199E-2</v>
      </c>
      <c r="E469" s="149">
        <v>44916</v>
      </c>
      <c r="F469" s="150">
        <v>7293</v>
      </c>
      <c r="G469">
        <v>-5.7530810339186146E-3</v>
      </c>
    </row>
    <row r="470" spans="1:7" x14ac:dyDescent="0.2">
      <c r="A470" t="s">
        <v>651</v>
      </c>
      <c r="B470">
        <v>17.77</v>
      </c>
      <c r="C470" s="105">
        <v>1.1958997722095721E-2</v>
      </c>
      <c r="E470" s="149">
        <v>44915</v>
      </c>
      <c r="F470" s="150">
        <v>7199.6</v>
      </c>
      <c r="G470">
        <v>-1.280680104209511E-2</v>
      </c>
    </row>
    <row r="471" spans="1:7" x14ac:dyDescent="0.2">
      <c r="A471" t="s">
        <v>652</v>
      </c>
      <c r="B471">
        <v>18.34</v>
      </c>
      <c r="C471" s="105">
        <v>3.2076533483399006E-2</v>
      </c>
      <c r="E471" s="149">
        <v>44914</v>
      </c>
      <c r="F471" s="150">
        <v>7321</v>
      </c>
      <c r="G471">
        <v>1.6862047891549478E-2</v>
      </c>
    </row>
    <row r="472" spans="1:7" x14ac:dyDescent="0.2">
      <c r="A472" t="s">
        <v>653</v>
      </c>
      <c r="B472">
        <v>18.350000000000001</v>
      </c>
      <c r="C472" s="105">
        <v>5.4525627044719539E-4</v>
      </c>
      <c r="E472" s="149">
        <v>44911</v>
      </c>
      <c r="F472" s="150">
        <v>7336.5</v>
      </c>
      <c r="G472">
        <v>2.1171971042207348E-3</v>
      </c>
    </row>
    <row r="473" spans="1:7" x14ac:dyDescent="0.2">
      <c r="A473" t="s">
        <v>654</v>
      </c>
      <c r="B473">
        <v>18.54</v>
      </c>
      <c r="C473" s="105">
        <v>1.0354223433242382E-2</v>
      </c>
      <c r="E473" s="149">
        <v>44910</v>
      </c>
      <c r="F473" s="150">
        <v>7390.3</v>
      </c>
      <c r="G473">
        <v>7.333197028555876E-3</v>
      </c>
    </row>
    <row r="474" spans="1:7" x14ac:dyDescent="0.2">
      <c r="A474" t="s">
        <v>655</v>
      </c>
      <c r="B474">
        <v>19.21</v>
      </c>
      <c r="C474" s="105">
        <v>3.6138079827400311E-2</v>
      </c>
      <c r="E474" s="149">
        <v>44909</v>
      </c>
      <c r="F474" s="150">
        <v>7438.7</v>
      </c>
      <c r="G474">
        <v>6.5491252046601129E-3</v>
      </c>
    </row>
    <row r="475" spans="1:7" x14ac:dyDescent="0.2">
      <c r="A475" t="s">
        <v>656</v>
      </c>
      <c r="B475">
        <v>19.440000000000001</v>
      </c>
      <c r="C475" s="105">
        <v>1.1972930765226467E-2</v>
      </c>
      <c r="E475" s="149">
        <v>44908</v>
      </c>
      <c r="F475" s="150">
        <v>7389.2</v>
      </c>
      <c r="G475">
        <v>-6.6543885356312258E-3</v>
      </c>
    </row>
    <row r="476" spans="1:7" x14ac:dyDescent="0.2">
      <c r="A476" t="s">
        <v>657</v>
      </c>
      <c r="B476">
        <v>19.100000000000001</v>
      </c>
      <c r="C476" s="105">
        <v>-1.7489711934156372E-2</v>
      </c>
      <c r="E476" s="149">
        <v>44907</v>
      </c>
      <c r="F476" s="150">
        <v>7370.6</v>
      </c>
      <c r="G476">
        <v>-2.5171872462512119E-3</v>
      </c>
    </row>
    <row r="477" spans="1:7" x14ac:dyDescent="0.2">
      <c r="A477" t="s">
        <v>658</v>
      </c>
      <c r="B477">
        <v>18.96</v>
      </c>
      <c r="C477" s="105">
        <v>-7.3298429319372024E-3</v>
      </c>
      <c r="E477" s="149">
        <v>44904</v>
      </c>
      <c r="F477" s="150">
        <v>7406.3</v>
      </c>
      <c r="G477">
        <v>4.8435676878408563E-3</v>
      </c>
    </row>
    <row r="478" spans="1:7" x14ac:dyDescent="0.2">
      <c r="A478" t="s">
        <v>659</v>
      </c>
      <c r="B478">
        <v>18.899999999999999</v>
      </c>
      <c r="C478" s="105">
        <v>-3.1645569620254361E-3</v>
      </c>
      <c r="E478" s="149">
        <v>44903</v>
      </c>
      <c r="F478" s="150">
        <v>7369.4</v>
      </c>
      <c r="G478">
        <v>-4.9822448456044912E-3</v>
      </c>
    </row>
    <row r="479" spans="1:7" x14ac:dyDescent="0.2">
      <c r="A479" t="s">
        <v>660</v>
      </c>
      <c r="B479">
        <v>18.88</v>
      </c>
      <c r="C479" s="105">
        <v>-1.0582010582010357E-3</v>
      </c>
      <c r="E479" s="149">
        <v>44902</v>
      </c>
      <c r="F479" s="150">
        <v>7423.2</v>
      </c>
      <c r="G479">
        <v>7.3004586533503652E-3</v>
      </c>
    </row>
    <row r="480" spans="1:7" x14ac:dyDescent="0.2">
      <c r="A480" t="s">
        <v>661</v>
      </c>
      <c r="B480">
        <v>19.18</v>
      </c>
      <c r="C480" s="105">
        <v>1.5889830508474614E-2</v>
      </c>
      <c r="E480" s="149">
        <v>44901</v>
      </c>
      <c r="F480" s="150">
        <v>7487.7</v>
      </c>
      <c r="G480">
        <v>8.688975105075979E-3</v>
      </c>
    </row>
    <row r="481" spans="1:7" x14ac:dyDescent="0.2">
      <c r="A481" t="s">
        <v>662</v>
      </c>
      <c r="B481">
        <v>19.7</v>
      </c>
      <c r="C481" s="105">
        <v>2.7111574556830009E-2</v>
      </c>
      <c r="E481" s="149">
        <v>44900</v>
      </c>
      <c r="F481" s="150">
        <v>7527.8</v>
      </c>
      <c r="G481">
        <v>5.355449604017304E-3</v>
      </c>
    </row>
    <row r="482" spans="1:7" x14ac:dyDescent="0.2">
      <c r="A482" t="s">
        <v>663</v>
      </c>
      <c r="B482">
        <v>19.91</v>
      </c>
      <c r="C482" s="105">
        <v>1.0659898477157405E-2</v>
      </c>
      <c r="E482" s="149">
        <v>44897</v>
      </c>
      <c r="F482" s="150">
        <v>7503.5</v>
      </c>
      <c r="G482">
        <v>-3.2280347511889503E-3</v>
      </c>
    </row>
    <row r="483" spans="1:7" x14ac:dyDescent="0.2">
      <c r="A483" t="s">
        <v>664</v>
      </c>
      <c r="B483">
        <v>20.09</v>
      </c>
      <c r="C483" s="105">
        <v>9.040683073832231E-3</v>
      </c>
      <c r="E483" s="149">
        <v>44896</v>
      </c>
      <c r="F483" s="150">
        <v>7554</v>
      </c>
      <c r="G483">
        <v>6.7301925767974946E-3</v>
      </c>
    </row>
    <row r="484" spans="1:7" x14ac:dyDescent="0.2">
      <c r="A484" t="s">
        <v>665</v>
      </c>
      <c r="B484">
        <v>19.760000000000002</v>
      </c>
      <c r="C484" s="105">
        <v>-1.6426082628173137E-2</v>
      </c>
      <c r="E484" s="149">
        <v>44895</v>
      </c>
      <c r="F484" s="150">
        <v>7480.7</v>
      </c>
      <c r="G484">
        <v>-9.7034683611331978E-3</v>
      </c>
    </row>
    <row r="485" spans="1:7" x14ac:dyDescent="0.2">
      <c r="A485" t="s">
        <v>666</v>
      </c>
      <c r="B485">
        <v>19.7</v>
      </c>
      <c r="C485" s="105">
        <v>-3.0364372469636777E-3</v>
      </c>
      <c r="E485" s="149">
        <v>44894</v>
      </c>
      <c r="F485" s="150">
        <v>7442</v>
      </c>
      <c r="G485">
        <v>-5.1733126579063217E-3</v>
      </c>
    </row>
    <row r="486" spans="1:7" x14ac:dyDescent="0.2">
      <c r="A486" t="s">
        <v>667</v>
      </c>
      <c r="B486">
        <v>19.88</v>
      </c>
      <c r="C486" s="105">
        <v>9.1370558375634368E-3</v>
      </c>
      <c r="E486" s="149">
        <v>44893</v>
      </c>
      <c r="F486" s="150">
        <v>7418.6</v>
      </c>
      <c r="G486">
        <v>-3.1443160440741249E-3</v>
      </c>
    </row>
    <row r="487" spans="1:7" x14ac:dyDescent="0.2">
      <c r="A487" t="s">
        <v>668</v>
      </c>
      <c r="B487">
        <v>19.600000000000001</v>
      </c>
      <c r="C487" s="105">
        <v>-1.40845070422534E-2</v>
      </c>
      <c r="E487" s="149">
        <v>44890</v>
      </c>
      <c r="F487" s="150">
        <v>7447.6</v>
      </c>
      <c r="G487">
        <v>3.9090933599331412E-3</v>
      </c>
    </row>
    <row r="488" spans="1:7" x14ac:dyDescent="0.2">
      <c r="A488" t="s">
        <v>669</v>
      </c>
      <c r="B488">
        <v>19.29</v>
      </c>
      <c r="C488" s="105">
        <v>-1.5816326530612358E-2</v>
      </c>
      <c r="E488" s="149">
        <v>44889</v>
      </c>
      <c r="F488" s="150">
        <v>7432.2</v>
      </c>
      <c r="G488">
        <v>-2.0677802245019261E-3</v>
      </c>
    </row>
    <row r="489" spans="1:7" x14ac:dyDescent="0.2">
      <c r="A489" t="s">
        <v>670</v>
      </c>
      <c r="B489">
        <v>18.809999999999999</v>
      </c>
      <c r="C489" s="105">
        <v>-2.4883359253499247E-2</v>
      </c>
      <c r="E489" s="149">
        <v>44888</v>
      </c>
      <c r="F489" s="150">
        <v>7437.8</v>
      </c>
      <c r="G489">
        <v>7.5347810876999597E-4</v>
      </c>
    </row>
    <row r="490" spans="1:7" x14ac:dyDescent="0.2">
      <c r="A490" t="s">
        <v>671</v>
      </c>
      <c r="B490">
        <v>19.3</v>
      </c>
      <c r="C490" s="105">
        <v>2.604997341839458E-2</v>
      </c>
      <c r="E490" s="149">
        <v>44887</v>
      </c>
      <c r="F490" s="150">
        <v>7376.4</v>
      </c>
      <c r="G490">
        <v>-8.2551292048724818E-3</v>
      </c>
    </row>
    <row r="491" spans="1:7" x14ac:dyDescent="0.2">
      <c r="A491" t="s">
        <v>672</v>
      </c>
      <c r="B491">
        <v>19.600000000000001</v>
      </c>
      <c r="C491" s="105">
        <v>1.5544041450777238E-2</v>
      </c>
      <c r="E491" s="149">
        <v>44886</v>
      </c>
      <c r="F491" s="150">
        <v>7335.1</v>
      </c>
      <c r="G491">
        <v>-5.5989371509136262E-3</v>
      </c>
    </row>
    <row r="492" spans="1:7" x14ac:dyDescent="0.2">
      <c r="A492" t="s">
        <v>673</v>
      </c>
      <c r="B492">
        <v>19.809999999999999</v>
      </c>
      <c r="C492" s="105">
        <v>1.0714285714285576E-2</v>
      </c>
      <c r="E492" s="149">
        <v>44883</v>
      </c>
      <c r="F492" s="150">
        <v>7354.7</v>
      </c>
      <c r="G492">
        <v>2.6720835435098981E-3</v>
      </c>
    </row>
    <row r="493" spans="1:7" x14ac:dyDescent="0.2">
      <c r="A493" t="s">
        <v>674</v>
      </c>
      <c r="B493">
        <v>20.23</v>
      </c>
      <c r="C493" s="105">
        <v>2.1201413427561926E-2</v>
      </c>
      <c r="E493" s="149">
        <v>44882</v>
      </c>
      <c r="F493" s="150">
        <v>7339</v>
      </c>
      <c r="G493">
        <v>-2.1346893822997291E-3</v>
      </c>
    </row>
    <row r="494" spans="1:7" x14ac:dyDescent="0.2">
      <c r="A494" t="s">
        <v>675</v>
      </c>
      <c r="B494">
        <v>20.39</v>
      </c>
      <c r="C494" s="105">
        <v>7.9090459713297145E-3</v>
      </c>
      <c r="E494" s="149">
        <v>44881</v>
      </c>
      <c r="F494" s="150">
        <v>7327.4</v>
      </c>
      <c r="G494">
        <v>-1.5805968115547573E-3</v>
      </c>
    </row>
    <row r="495" spans="1:7" x14ac:dyDescent="0.2">
      <c r="A495" t="s">
        <v>676</v>
      </c>
      <c r="B495">
        <v>20.85</v>
      </c>
      <c r="C495" s="105">
        <v>2.2560078469838197E-2</v>
      </c>
      <c r="E495" s="149">
        <v>44880</v>
      </c>
      <c r="F495" s="150">
        <v>7345.4</v>
      </c>
      <c r="G495">
        <v>2.4565330130742148E-3</v>
      </c>
    </row>
    <row r="496" spans="1:7" x14ac:dyDescent="0.2">
      <c r="A496" t="s">
        <v>677</v>
      </c>
      <c r="B496">
        <v>20.89</v>
      </c>
      <c r="C496" s="105">
        <v>1.9184652278177049E-3</v>
      </c>
      <c r="E496" s="149">
        <v>44879</v>
      </c>
      <c r="F496" s="150">
        <v>7350.2</v>
      </c>
      <c r="G496">
        <v>6.5347019903615623E-4</v>
      </c>
    </row>
    <row r="497" spans="1:7" x14ac:dyDescent="0.2">
      <c r="A497" t="s">
        <v>678</v>
      </c>
      <c r="B497">
        <v>20.85</v>
      </c>
      <c r="C497" s="105">
        <v>-1.9147917663953637E-3</v>
      </c>
      <c r="E497" s="149">
        <v>44876</v>
      </c>
      <c r="F497" s="150">
        <v>7350.1</v>
      </c>
      <c r="G497">
        <v>-1.3605071970756484E-5</v>
      </c>
    </row>
    <row r="498" spans="1:7" x14ac:dyDescent="0.2">
      <c r="A498" t="s">
        <v>679</v>
      </c>
      <c r="B498">
        <v>19.45</v>
      </c>
      <c r="C498" s="105">
        <v>-6.7146282973621199E-2</v>
      </c>
      <c r="E498" s="149">
        <v>44875</v>
      </c>
      <c r="F498" s="150">
        <v>7145.7</v>
      </c>
      <c r="G498">
        <v>-2.7809145453803422E-2</v>
      </c>
    </row>
    <row r="499" spans="1:7" x14ac:dyDescent="0.2">
      <c r="A499" t="s">
        <v>680</v>
      </c>
      <c r="B499">
        <v>19.71</v>
      </c>
      <c r="C499" s="105">
        <v>1.3367609254498796E-2</v>
      </c>
      <c r="E499" s="149">
        <v>44874</v>
      </c>
      <c r="F499" s="150">
        <v>7187.4</v>
      </c>
      <c r="G499">
        <v>5.8356774003946177E-3</v>
      </c>
    </row>
    <row r="500" spans="1:7" x14ac:dyDescent="0.2">
      <c r="A500" t="s">
        <v>681</v>
      </c>
      <c r="B500">
        <v>19.73</v>
      </c>
      <c r="C500" s="105">
        <v>1.014713343480445E-3</v>
      </c>
      <c r="E500" s="149">
        <v>44873</v>
      </c>
      <c r="F500" s="150">
        <v>7150.1</v>
      </c>
      <c r="G500">
        <v>-5.1896374210422787E-3</v>
      </c>
    </row>
    <row r="501" spans="1:7" x14ac:dyDescent="0.2">
      <c r="A501" t="s">
        <v>682</v>
      </c>
      <c r="B501">
        <v>19.940000000000001</v>
      </c>
      <c r="C501" s="105">
        <v>1.0643689812468365E-2</v>
      </c>
      <c r="E501" s="149">
        <v>44872</v>
      </c>
      <c r="F501" s="150">
        <v>7129.2</v>
      </c>
      <c r="G501">
        <v>-2.923036041454042E-3</v>
      </c>
    </row>
    <row r="502" spans="1:7" x14ac:dyDescent="0.2">
      <c r="A502" t="s">
        <v>683</v>
      </c>
      <c r="B502">
        <v>19.510000000000002</v>
      </c>
      <c r="C502" s="105">
        <v>-2.1564694082246726E-2</v>
      </c>
      <c r="E502" s="149">
        <v>44869</v>
      </c>
      <c r="F502" s="150">
        <v>7089.3</v>
      </c>
      <c r="G502">
        <v>-5.5967008921056554E-3</v>
      </c>
    </row>
    <row r="503" spans="1:7" x14ac:dyDescent="0.2">
      <c r="A503" t="s">
        <v>684</v>
      </c>
      <c r="B503">
        <v>19.78</v>
      </c>
      <c r="C503" s="105">
        <v>1.3839056893900541E-2</v>
      </c>
      <c r="E503" s="149">
        <v>44868</v>
      </c>
      <c r="F503" s="150">
        <v>7050.6</v>
      </c>
      <c r="G503">
        <v>-5.4589310651262917E-3</v>
      </c>
    </row>
    <row r="504" spans="1:7" x14ac:dyDescent="0.2">
      <c r="A504" t="s">
        <v>685</v>
      </c>
      <c r="B504">
        <v>20.16</v>
      </c>
      <c r="C504" s="105">
        <v>1.9211324570272952E-2</v>
      </c>
      <c r="E504" s="149">
        <v>44867</v>
      </c>
      <c r="F504" s="150">
        <v>7177.8</v>
      </c>
      <c r="G504">
        <v>1.8041017785720339E-2</v>
      </c>
    </row>
    <row r="505" spans="1:7" x14ac:dyDescent="0.2">
      <c r="A505" t="s">
        <v>686</v>
      </c>
      <c r="B505">
        <v>19.940000000000001</v>
      </c>
      <c r="C505" s="105">
        <v>-1.0912698412698357E-2</v>
      </c>
      <c r="E505" s="149">
        <v>44866</v>
      </c>
      <c r="F505" s="150">
        <v>7169.6</v>
      </c>
      <c r="G505">
        <v>-1.1424113238039258E-3</v>
      </c>
    </row>
    <row r="506" spans="1:7" x14ac:dyDescent="0.2">
      <c r="A506" t="s">
        <v>687</v>
      </c>
      <c r="B506">
        <v>19.36</v>
      </c>
      <c r="C506" s="105">
        <v>-2.9087261785356158E-2</v>
      </c>
      <c r="E506" s="149">
        <v>44865</v>
      </c>
      <c r="F506" s="150">
        <v>7054.8</v>
      </c>
      <c r="G506">
        <v>-1.6012050881499689E-2</v>
      </c>
    </row>
    <row r="507" spans="1:7" x14ac:dyDescent="0.2">
      <c r="A507" t="s">
        <v>688</v>
      </c>
      <c r="B507">
        <v>18.649999999999999</v>
      </c>
      <c r="C507" s="105">
        <v>-3.6673553719008309E-2</v>
      </c>
      <c r="E507" s="149">
        <v>44862</v>
      </c>
      <c r="F507" s="150">
        <v>6973.5</v>
      </c>
      <c r="G507">
        <v>-1.1524068719169953E-2</v>
      </c>
    </row>
    <row r="508" spans="1:7" x14ac:dyDescent="0.2">
      <c r="A508" t="s">
        <v>689</v>
      </c>
      <c r="B508">
        <v>19.27</v>
      </c>
      <c r="C508" s="105">
        <v>3.3243967828418285E-2</v>
      </c>
      <c r="E508" s="149">
        <v>44861</v>
      </c>
      <c r="F508" s="150">
        <v>7042.3</v>
      </c>
      <c r="G508">
        <v>9.8659209865921242E-3</v>
      </c>
    </row>
    <row r="509" spans="1:7" x14ac:dyDescent="0.2">
      <c r="A509" t="s">
        <v>690</v>
      </c>
      <c r="B509">
        <v>19.04</v>
      </c>
      <c r="C509" s="105">
        <v>-1.1935651271406354E-2</v>
      </c>
      <c r="E509" s="149">
        <v>44860</v>
      </c>
      <c r="F509" s="150">
        <v>7005.1</v>
      </c>
      <c r="G509">
        <v>-5.2823651363900735E-3</v>
      </c>
    </row>
    <row r="510" spans="1:7" x14ac:dyDescent="0.2">
      <c r="A510" t="s">
        <v>691</v>
      </c>
      <c r="B510">
        <v>18.95</v>
      </c>
      <c r="C510" s="105">
        <v>-4.7268907563025138E-3</v>
      </c>
      <c r="E510" s="149">
        <v>44859</v>
      </c>
      <c r="F510" s="150">
        <v>6993.7</v>
      </c>
      <c r="G510">
        <v>-1.6273857618021934E-3</v>
      </c>
    </row>
    <row r="511" spans="1:7" x14ac:dyDescent="0.2">
      <c r="A511" t="s">
        <v>692</v>
      </c>
      <c r="B511">
        <v>18.350000000000001</v>
      </c>
      <c r="C511" s="105">
        <v>-3.166226912928749E-2</v>
      </c>
      <c r="E511" s="149">
        <v>44858</v>
      </c>
      <c r="F511" s="150">
        <v>6978.4</v>
      </c>
      <c r="G511">
        <v>-2.1876832005948473E-3</v>
      </c>
    </row>
    <row r="512" spans="1:7" x14ac:dyDescent="0.2">
      <c r="A512" t="s">
        <v>693</v>
      </c>
      <c r="B512">
        <v>17.75</v>
      </c>
      <c r="C512" s="105">
        <v>-3.2697547683923779E-2</v>
      </c>
      <c r="E512" s="149">
        <v>44855</v>
      </c>
      <c r="F512" s="150">
        <v>6869.9</v>
      </c>
      <c r="G512">
        <v>-1.5547976613550386E-2</v>
      </c>
    </row>
    <row r="513" spans="1:7" x14ac:dyDescent="0.2">
      <c r="A513" t="s">
        <v>694</v>
      </c>
      <c r="B513">
        <v>17.829999999999998</v>
      </c>
      <c r="C513" s="105">
        <v>4.5070422535210307E-3</v>
      </c>
      <c r="E513" s="149">
        <v>44854</v>
      </c>
      <c r="F513" s="150">
        <v>6918.7</v>
      </c>
      <c r="G513">
        <v>7.103451287500573E-3</v>
      </c>
    </row>
    <row r="514" spans="1:7" x14ac:dyDescent="0.2">
      <c r="A514" t="s">
        <v>695</v>
      </c>
      <c r="B514">
        <v>18.52</v>
      </c>
      <c r="C514" s="105">
        <v>3.8698822209758905E-2</v>
      </c>
      <c r="E514" s="149">
        <v>44853</v>
      </c>
      <c r="F514" s="150">
        <v>6999.8</v>
      </c>
      <c r="G514">
        <v>1.1721855261826697E-2</v>
      </c>
    </row>
    <row r="515" spans="1:7" x14ac:dyDescent="0.2">
      <c r="A515" t="s">
        <v>696</v>
      </c>
      <c r="B515">
        <v>18.09</v>
      </c>
      <c r="C515" s="105">
        <v>-2.3218142548596096E-2</v>
      </c>
      <c r="E515" s="149">
        <v>44852</v>
      </c>
      <c r="F515" s="150">
        <v>6976.2</v>
      </c>
      <c r="G515">
        <v>-3.3715249007115009E-3</v>
      </c>
    </row>
    <row r="516" spans="1:7" x14ac:dyDescent="0.2">
      <c r="A516" t="s">
        <v>697</v>
      </c>
      <c r="B516">
        <v>17.27</v>
      </c>
      <c r="C516" s="105">
        <v>-4.5328911000552807E-2</v>
      </c>
      <c r="E516" s="149">
        <v>44851</v>
      </c>
      <c r="F516" s="150">
        <v>6854.3</v>
      </c>
      <c r="G516">
        <v>-1.7473696281643251E-2</v>
      </c>
    </row>
    <row r="517" spans="1:7" x14ac:dyDescent="0.2">
      <c r="A517" t="s">
        <v>698</v>
      </c>
      <c r="B517">
        <v>17.66</v>
      </c>
      <c r="C517" s="105">
        <v>2.2582513028372934E-2</v>
      </c>
      <c r="E517" s="149">
        <v>44848</v>
      </c>
      <c r="F517" s="150">
        <v>6948.6</v>
      </c>
      <c r="G517">
        <v>1.3757787082561338E-2</v>
      </c>
    </row>
    <row r="518" spans="1:7" x14ac:dyDescent="0.2">
      <c r="A518" t="s">
        <v>699</v>
      </c>
      <c r="B518">
        <v>17.59</v>
      </c>
      <c r="C518" s="105">
        <v>-3.9637599093997897E-3</v>
      </c>
      <c r="E518" s="149">
        <v>44847</v>
      </c>
      <c r="F518" s="150">
        <v>6834.5</v>
      </c>
      <c r="G518">
        <v>-1.6420573928561201E-2</v>
      </c>
    </row>
    <row r="519" spans="1:7" x14ac:dyDescent="0.2">
      <c r="A519" t="s">
        <v>700</v>
      </c>
      <c r="B519">
        <v>17.59</v>
      </c>
      <c r="C519" s="105">
        <v>0</v>
      </c>
      <c r="E519" s="149">
        <v>44846</v>
      </c>
      <c r="F519" s="150">
        <v>6842.3</v>
      </c>
      <c r="G519">
        <v>1.1412685639037503E-3</v>
      </c>
    </row>
    <row r="520" spans="1:7" x14ac:dyDescent="0.2">
      <c r="A520" t="s">
        <v>701</v>
      </c>
      <c r="B520">
        <v>17.38</v>
      </c>
      <c r="C520" s="105">
        <v>-1.1938601478112612E-2</v>
      </c>
      <c r="E520" s="149">
        <v>44845</v>
      </c>
      <c r="F520" s="150">
        <v>6844.3</v>
      </c>
      <c r="G520">
        <v>2.9229937301784484E-4</v>
      </c>
    </row>
    <row r="521" spans="1:7" x14ac:dyDescent="0.2">
      <c r="A521" t="s">
        <v>702</v>
      </c>
      <c r="B521">
        <v>17.739999999999998</v>
      </c>
      <c r="C521" s="105">
        <v>2.0713463751438402E-2</v>
      </c>
      <c r="E521" s="149">
        <v>44844</v>
      </c>
      <c r="F521" s="150">
        <v>6872</v>
      </c>
      <c r="G521">
        <v>4.0471633329923901E-3</v>
      </c>
    </row>
    <row r="522" spans="1:7" x14ac:dyDescent="0.2">
      <c r="A522" t="s">
        <v>703</v>
      </c>
      <c r="B522">
        <v>18.52</v>
      </c>
      <c r="C522" s="105">
        <v>4.3968432919954975E-2</v>
      </c>
      <c r="E522" s="149">
        <v>44841</v>
      </c>
      <c r="F522" s="150">
        <v>6976.1</v>
      </c>
      <c r="G522">
        <v>1.5148428405122288E-2</v>
      </c>
    </row>
    <row r="523" spans="1:7" x14ac:dyDescent="0.2">
      <c r="A523" t="s">
        <v>704</v>
      </c>
      <c r="B523">
        <v>18.84</v>
      </c>
      <c r="C523" s="105">
        <v>1.7278617710583168E-2</v>
      </c>
      <c r="E523" s="149">
        <v>44840</v>
      </c>
      <c r="F523" s="150">
        <v>7033.5</v>
      </c>
      <c r="G523">
        <v>8.228093060592542E-3</v>
      </c>
    </row>
    <row r="524" spans="1:7" x14ac:dyDescent="0.2">
      <c r="A524" t="s">
        <v>705</v>
      </c>
      <c r="B524">
        <v>18.96</v>
      </c>
      <c r="C524" s="105">
        <v>6.3694267515924099E-3</v>
      </c>
      <c r="E524" s="149">
        <v>44839</v>
      </c>
      <c r="F524" s="150">
        <v>7030.9</v>
      </c>
      <c r="G524">
        <v>-3.6965948674207204E-4</v>
      </c>
    </row>
    <row r="525" spans="1:7" x14ac:dyDescent="0.2">
      <c r="A525" t="s">
        <v>706</v>
      </c>
      <c r="B525">
        <v>18.13</v>
      </c>
      <c r="C525" s="105">
        <v>-4.3776371308016974E-2</v>
      </c>
      <c r="E525" s="149">
        <v>44838</v>
      </c>
      <c r="F525" s="150">
        <v>6905.3</v>
      </c>
      <c r="G525">
        <v>-1.7864000341350248E-2</v>
      </c>
    </row>
    <row r="526" spans="1:7" x14ac:dyDescent="0.2">
      <c r="A526" t="s">
        <v>707</v>
      </c>
      <c r="B526">
        <v>17.45</v>
      </c>
      <c r="C526" s="105">
        <v>-3.7506894649751779E-2</v>
      </c>
      <c r="E526" s="149">
        <v>44837</v>
      </c>
      <c r="F526" s="150">
        <v>6656.4</v>
      </c>
      <c r="G526">
        <v>-3.6044777200121725E-2</v>
      </c>
    </row>
    <row r="527" spans="1:7" x14ac:dyDescent="0.2">
      <c r="A527" t="s">
        <v>708</v>
      </c>
      <c r="B527">
        <v>17.71</v>
      </c>
      <c r="C527" s="105">
        <v>1.4899713467048801E-2</v>
      </c>
      <c r="E527" s="149">
        <v>44834</v>
      </c>
      <c r="F527" s="150">
        <v>6678.7</v>
      </c>
      <c r="G527">
        <v>3.3501592452376936E-3</v>
      </c>
    </row>
    <row r="528" spans="1:7" x14ac:dyDescent="0.2">
      <c r="A528" t="s">
        <v>709</v>
      </c>
      <c r="B528">
        <v>18.09</v>
      </c>
      <c r="C528" s="105">
        <v>2.1456804065499661E-2</v>
      </c>
      <c r="E528" s="149">
        <v>44833</v>
      </c>
      <c r="F528" s="150">
        <v>6760.6</v>
      </c>
      <c r="G528">
        <v>1.2262865527722542E-2</v>
      </c>
    </row>
    <row r="529" spans="1:7" x14ac:dyDescent="0.2">
      <c r="A529" t="s">
        <v>710</v>
      </c>
      <c r="B529">
        <v>18.03</v>
      </c>
      <c r="C529" s="105">
        <v>-3.3167495854062312E-3</v>
      </c>
      <c r="E529" s="149">
        <v>44832</v>
      </c>
      <c r="F529" s="150">
        <v>6659.8</v>
      </c>
      <c r="G529">
        <v>-1.4909919237937488E-2</v>
      </c>
    </row>
    <row r="530" spans="1:7" x14ac:dyDescent="0.2">
      <c r="A530" t="s">
        <v>711</v>
      </c>
      <c r="B530">
        <v>18.3</v>
      </c>
      <c r="C530" s="105">
        <v>1.4975041597337745E-2</v>
      </c>
      <c r="E530" s="149">
        <v>44831</v>
      </c>
      <c r="F530" s="150">
        <v>6696.5</v>
      </c>
      <c r="G530">
        <v>5.5106759962761367E-3</v>
      </c>
    </row>
    <row r="531" spans="1:7" x14ac:dyDescent="0.2">
      <c r="A531" t="s">
        <v>712</v>
      </c>
      <c r="B531">
        <v>18.34</v>
      </c>
      <c r="C531" s="105">
        <v>2.1857923497267291E-3</v>
      </c>
      <c r="E531" s="149">
        <v>44830</v>
      </c>
      <c r="F531" s="150">
        <v>6667.5</v>
      </c>
      <c r="G531">
        <v>-4.3306204733816172E-3</v>
      </c>
    </row>
    <row r="532" spans="1:7" x14ac:dyDescent="0.2">
      <c r="A532" t="s">
        <v>713</v>
      </c>
      <c r="B532">
        <v>18.190000000000001</v>
      </c>
      <c r="C532" s="105">
        <v>-8.1788440567065746E-3</v>
      </c>
      <c r="E532" s="149">
        <v>44827</v>
      </c>
      <c r="F532" s="150">
        <v>6788.7</v>
      </c>
      <c r="G532">
        <v>1.817772778402697E-2</v>
      </c>
    </row>
    <row r="533" spans="1:7" x14ac:dyDescent="0.2">
      <c r="A533" t="s">
        <v>714</v>
      </c>
      <c r="B533">
        <v>18.510000000000002</v>
      </c>
      <c r="C533" s="105">
        <v>1.7592083562396936E-2</v>
      </c>
      <c r="E533" s="149">
        <v>44825</v>
      </c>
      <c r="F533" s="150">
        <v>6921.4</v>
      </c>
      <c r="G533">
        <v>1.9547188710651496E-2</v>
      </c>
    </row>
    <row r="534" spans="1:7" x14ac:dyDescent="0.2">
      <c r="A534" t="s">
        <v>715</v>
      </c>
      <c r="B534">
        <v>18.649999999999999</v>
      </c>
      <c r="C534" s="105">
        <v>7.563479200432037E-3</v>
      </c>
      <c r="E534" s="149">
        <v>44824</v>
      </c>
      <c r="F534" s="150">
        <v>7030</v>
      </c>
      <c r="G534">
        <v>1.5690467246510874E-2</v>
      </c>
    </row>
    <row r="535" spans="1:7" x14ac:dyDescent="0.2">
      <c r="A535" t="s">
        <v>716</v>
      </c>
      <c r="B535">
        <v>18.850000000000001</v>
      </c>
      <c r="C535" s="105">
        <v>1.0723860589812485E-2</v>
      </c>
      <c r="E535" s="149">
        <v>44823</v>
      </c>
      <c r="F535" s="150">
        <v>6948.6</v>
      </c>
      <c r="G535">
        <v>-1.1578947368421001E-2</v>
      </c>
    </row>
    <row r="536" spans="1:7" x14ac:dyDescent="0.2">
      <c r="A536" t="s">
        <v>717</v>
      </c>
      <c r="B536">
        <v>19.88</v>
      </c>
      <c r="C536" s="105">
        <v>5.4641909814323472E-2</v>
      </c>
      <c r="E536" s="149">
        <v>44820</v>
      </c>
      <c r="F536" s="150">
        <v>6975.2</v>
      </c>
      <c r="G536">
        <v>3.8281092594190849E-3</v>
      </c>
    </row>
    <row r="537" spans="1:7" x14ac:dyDescent="0.2">
      <c r="A537" t="s">
        <v>718</v>
      </c>
      <c r="B537">
        <v>20.02</v>
      </c>
      <c r="C537" s="105">
        <v>7.0422535211267893E-3</v>
      </c>
      <c r="E537" s="149">
        <v>44819</v>
      </c>
      <c r="F537" s="150">
        <v>7082.5</v>
      </c>
      <c r="G537">
        <v>1.5383071453148323E-2</v>
      </c>
    </row>
    <row r="538" spans="1:7" x14ac:dyDescent="0.2">
      <c r="A538" t="s">
        <v>719</v>
      </c>
      <c r="B538">
        <v>20.58</v>
      </c>
      <c r="C538" s="105">
        <v>2.797202797202791E-2</v>
      </c>
      <c r="E538" s="149">
        <v>44818</v>
      </c>
      <c r="F538" s="150">
        <v>7071.8</v>
      </c>
      <c r="G538">
        <v>-1.5107659724673233E-3</v>
      </c>
    </row>
    <row r="539" spans="1:7" x14ac:dyDescent="0.2">
      <c r="A539" t="s">
        <v>720</v>
      </c>
      <c r="B539">
        <v>21.1</v>
      </c>
      <c r="C539" s="105">
        <v>2.5267249757045831E-2</v>
      </c>
      <c r="E539" s="149">
        <v>44817</v>
      </c>
      <c r="F539" s="150">
        <v>7253.7</v>
      </c>
      <c r="G539">
        <v>2.5721881274922882E-2</v>
      </c>
    </row>
    <row r="540" spans="1:7" x14ac:dyDescent="0.2">
      <c r="A540" t="s">
        <v>721</v>
      </c>
      <c r="B540">
        <v>20.51</v>
      </c>
      <c r="C540" s="105">
        <v>-2.7962085308056862E-2</v>
      </c>
      <c r="E540" s="149">
        <v>44816</v>
      </c>
      <c r="F540" s="150">
        <v>7208.2</v>
      </c>
      <c r="G540">
        <v>-6.2726608489460552E-3</v>
      </c>
    </row>
    <row r="541" spans="1:7" x14ac:dyDescent="0.2">
      <c r="A541" t="s">
        <v>722</v>
      </c>
      <c r="B541">
        <v>19.850000000000001</v>
      </c>
      <c r="C541" s="105">
        <v>-3.217942467089225E-2</v>
      </c>
      <c r="E541" s="149">
        <v>44813</v>
      </c>
      <c r="F541" s="150">
        <v>7139</v>
      </c>
      <c r="G541">
        <v>-9.6001775755389443E-3</v>
      </c>
    </row>
    <row r="542" spans="1:7" x14ac:dyDescent="0.2">
      <c r="A542" t="s">
        <v>723</v>
      </c>
      <c r="B542">
        <v>19.989999999999998</v>
      </c>
      <c r="C542" s="105">
        <v>7.0528967254406549E-3</v>
      </c>
      <c r="E542" s="149">
        <v>44812</v>
      </c>
      <c r="F542" s="150">
        <v>7085.3</v>
      </c>
      <c r="G542">
        <v>-7.5220619134332284E-3</v>
      </c>
    </row>
    <row r="543" spans="1:7" x14ac:dyDescent="0.2">
      <c r="A543" t="s">
        <v>724</v>
      </c>
      <c r="B543">
        <v>19.71</v>
      </c>
      <c r="C543" s="105">
        <v>-1.4007003501750756E-2</v>
      </c>
      <c r="E543" s="149">
        <v>44811</v>
      </c>
      <c r="F543" s="150">
        <v>6959.3</v>
      </c>
      <c r="G543">
        <v>-1.7783297813783468E-2</v>
      </c>
    </row>
    <row r="544" spans="1:7" x14ac:dyDescent="0.2">
      <c r="A544" t="s">
        <v>725</v>
      </c>
      <c r="B544">
        <v>20.14</v>
      </c>
      <c r="C544" s="105">
        <v>2.181633688483002E-2</v>
      </c>
      <c r="E544" s="149">
        <v>44810</v>
      </c>
      <c r="F544" s="150">
        <v>7055.9</v>
      </c>
      <c r="G544">
        <v>1.3880706392884263E-2</v>
      </c>
    </row>
    <row r="545" spans="1:7" x14ac:dyDescent="0.2">
      <c r="A545" t="s">
        <v>726</v>
      </c>
      <c r="B545">
        <v>21.19</v>
      </c>
      <c r="C545" s="105">
        <v>5.2135054617676299E-2</v>
      </c>
      <c r="E545" s="149">
        <v>44809</v>
      </c>
      <c r="F545" s="150">
        <v>7074.5</v>
      </c>
      <c r="G545">
        <v>2.6360917813461593E-3</v>
      </c>
    </row>
    <row r="546" spans="1:7" x14ac:dyDescent="0.2">
      <c r="A546" t="s">
        <v>727</v>
      </c>
      <c r="B546">
        <v>21.21</v>
      </c>
      <c r="C546" s="105">
        <v>9.4384143463896052E-4</v>
      </c>
      <c r="E546" s="149">
        <v>44806</v>
      </c>
      <c r="F546" s="150">
        <v>7056.3</v>
      </c>
      <c r="G546">
        <v>-2.5726199731429525E-3</v>
      </c>
    </row>
    <row r="547" spans="1:7" x14ac:dyDescent="0.2">
      <c r="A547" t="s">
        <v>728</v>
      </c>
      <c r="B547">
        <v>21.06</v>
      </c>
      <c r="C547" s="105">
        <v>-7.0721357850071723E-3</v>
      </c>
      <c r="E547" s="149">
        <v>44805</v>
      </c>
      <c r="F547" s="150">
        <v>7079.9</v>
      </c>
      <c r="G547">
        <v>3.3445290024516324E-3</v>
      </c>
    </row>
    <row r="548" spans="1:7" x14ac:dyDescent="0.2">
      <c r="A548" t="s">
        <v>729</v>
      </c>
      <c r="B548">
        <v>21.54</v>
      </c>
      <c r="C548" s="105">
        <v>2.2792022792022814E-2</v>
      </c>
      <c r="E548" s="149">
        <v>44804</v>
      </c>
      <c r="F548" s="150">
        <v>7226.1</v>
      </c>
      <c r="G548">
        <v>2.0650009180920737E-2</v>
      </c>
    </row>
    <row r="549" spans="1:7" x14ac:dyDescent="0.2">
      <c r="A549" t="s">
        <v>730</v>
      </c>
      <c r="B549">
        <v>20.91</v>
      </c>
      <c r="C549" s="105">
        <v>-2.9247910863509703E-2</v>
      </c>
      <c r="E549" s="149">
        <v>44803</v>
      </c>
      <c r="F549" s="150">
        <v>7230.4</v>
      </c>
      <c r="G549">
        <v>5.9506511119404278E-4</v>
      </c>
    </row>
    <row r="550" spans="1:7" x14ac:dyDescent="0.2">
      <c r="A550" t="s">
        <v>731</v>
      </c>
      <c r="B550">
        <v>21.32</v>
      </c>
      <c r="C550" s="105">
        <v>1.9607843137254909E-2</v>
      </c>
      <c r="E550" s="149">
        <v>44802</v>
      </c>
      <c r="F550" s="150">
        <v>7193.4</v>
      </c>
      <c r="G550">
        <v>-5.1172825846426207E-3</v>
      </c>
    </row>
    <row r="551" spans="1:7" x14ac:dyDescent="0.2">
      <c r="A551" t="s">
        <v>732</v>
      </c>
      <c r="B551">
        <v>21.7</v>
      </c>
      <c r="C551" s="105">
        <v>1.7823639774859242E-2</v>
      </c>
      <c r="E551" s="149">
        <v>44799</v>
      </c>
      <c r="F551" s="150">
        <v>7345.8</v>
      </c>
      <c r="G551">
        <v>2.1186087246642834E-2</v>
      </c>
    </row>
    <row r="552" spans="1:7" x14ac:dyDescent="0.2">
      <c r="A552" t="s">
        <v>733</v>
      </c>
      <c r="B552">
        <v>21.02</v>
      </c>
      <c r="C552" s="105">
        <v>-3.1336405529953905E-2</v>
      </c>
      <c r="E552" s="149">
        <v>44798</v>
      </c>
      <c r="F552" s="150">
        <v>7291.9</v>
      </c>
      <c r="G552">
        <v>-7.3375262054508079E-3</v>
      </c>
    </row>
    <row r="553" spans="1:7" x14ac:dyDescent="0.2">
      <c r="A553" t="s">
        <v>734</v>
      </c>
      <c r="B553">
        <v>20.43</v>
      </c>
      <c r="C553" s="105">
        <v>-2.8068506184586103E-2</v>
      </c>
      <c r="E553" s="149">
        <v>44797</v>
      </c>
      <c r="F553" s="150">
        <v>7242.3</v>
      </c>
      <c r="G553">
        <v>-6.8020680481081005E-3</v>
      </c>
    </row>
    <row r="554" spans="1:7" x14ac:dyDescent="0.2">
      <c r="A554" t="s">
        <v>735</v>
      </c>
      <c r="B554">
        <v>20.77</v>
      </c>
      <c r="C554" s="105">
        <v>1.6642192853646591E-2</v>
      </c>
      <c r="E554" s="149">
        <v>44796</v>
      </c>
      <c r="F554" s="150">
        <v>7199.2</v>
      </c>
      <c r="G554">
        <v>-5.9511481159300727E-3</v>
      </c>
    </row>
    <row r="555" spans="1:7" x14ac:dyDescent="0.2">
      <c r="A555" t="s">
        <v>736</v>
      </c>
      <c r="B555">
        <v>20.79</v>
      </c>
      <c r="C555" s="105">
        <v>9.6292729898890582E-4</v>
      </c>
      <c r="E555" s="149">
        <v>44795</v>
      </c>
      <c r="F555" s="150">
        <v>7287.2</v>
      </c>
      <c r="G555">
        <v>1.222358039782198E-2</v>
      </c>
    </row>
    <row r="556" spans="1:7" x14ac:dyDescent="0.2">
      <c r="A556" t="s">
        <v>737</v>
      </c>
      <c r="B556">
        <v>21.34</v>
      </c>
      <c r="C556" s="105">
        <v>2.6455026455026492E-2</v>
      </c>
      <c r="E556" s="149">
        <v>44792</v>
      </c>
      <c r="F556" s="150">
        <v>7358.7</v>
      </c>
      <c r="G556">
        <v>9.8117246679108577E-3</v>
      </c>
    </row>
    <row r="557" spans="1:7" x14ac:dyDescent="0.2">
      <c r="A557" t="s">
        <v>738</v>
      </c>
      <c r="B557">
        <v>21.67</v>
      </c>
      <c r="C557" s="105">
        <v>1.5463917525773283E-2</v>
      </c>
      <c r="E557" s="149">
        <v>44791</v>
      </c>
      <c r="F557" s="150">
        <v>7357.7</v>
      </c>
      <c r="G557">
        <v>-1.3589356815741911E-4</v>
      </c>
    </row>
    <row r="558" spans="1:7" x14ac:dyDescent="0.2">
      <c r="A558" t="s">
        <v>739</v>
      </c>
      <c r="B558">
        <v>22.05</v>
      </c>
      <c r="C558" s="105">
        <v>1.7535763728657082E-2</v>
      </c>
      <c r="E558" s="149">
        <v>44790</v>
      </c>
      <c r="F558" s="150">
        <v>7381.1</v>
      </c>
      <c r="G558">
        <v>3.1803416828629252E-3</v>
      </c>
    </row>
    <row r="559" spans="1:7" x14ac:dyDescent="0.2">
      <c r="A559" t="s">
        <v>740</v>
      </c>
      <c r="B559">
        <v>21.57</v>
      </c>
      <c r="C559" s="105">
        <v>-2.1768707482993217E-2</v>
      </c>
      <c r="E559" s="149">
        <v>44789</v>
      </c>
      <c r="F559" s="150">
        <v>7361.9</v>
      </c>
      <c r="G559">
        <v>-2.6012382978147872E-3</v>
      </c>
    </row>
    <row r="560" spans="1:7" x14ac:dyDescent="0.2">
      <c r="A560" t="s">
        <v>741</v>
      </c>
      <c r="B560">
        <v>22.11</v>
      </c>
      <c r="C560" s="105">
        <v>2.5034770514603576E-2</v>
      </c>
      <c r="E560" s="149">
        <v>44788</v>
      </c>
      <c r="F560" s="150">
        <v>7324.9</v>
      </c>
      <c r="G560">
        <v>-5.0258764721063855E-3</v>
      </c>
    </row>
    <row r="561" spans="1:7" x14ac:dyDescent="0.2">
      <c r="A561" t="s">
        <v>742</v>
      </c>
      <c r="B561">
        <v>21.95</v>
      </c>
      <c r="C561" s="105">
        <v>-7.2365445499773928E-3</v>
      </c>
      <c r="E561" s="149">
        <v>44785</v>
      </c>
      <c r="F561" s="150">
        <v>7288.8</v>
      </c>
      <c r="G561">
        <v>-4.9283949268931256E-3</v>
      </c>
    </row>
    <row r="562" spans="1:7" x14ac:dyDescent="0.2">
      <c r="A562" t="s">
        <v>743</v>
      </c>
      <c r="B562">
        <v>22.33</v>
      </c>
      <c r="C562" s="105">
        <v>1.731207289293845E-2</v>
      </c>
      <c r="E562" s="149">
        <v>44784</v>
      </c>
      <c r="F562" s="150">
        <v>7325.4</v>
      </c>
      <c r="G562">
        <v>5.0214027000328523E-3</v>
      </c>
    </row>
    <row r="563" spans="1:7" x14ac:dyDescent="0.2">
      <c r="A563" t="s">
        <v>744</v>
      </c>
      <c r="B563">
        <v>21.58</v>
      </c>
      <c r="C563" s="105">
        <v>-3.3587102552619798E-2</v>
      </c>
      <c r="E563" s="149">
        <v>44783</v>
      </c>
      <c r="F563" s="150">
        <v>7238.7</v>
      </c>
      <c r="G563">
        <v>-1.1835531165533599E-2</v>
      </c>
    </row>
    <row r="564" spans="1:7" x14ac:dyDescent="0.2">
      <c r="A564" t="s">
        <v>745</v>
      </c>
      <c r="B564">
        <v>22.31</v>
      </c>
      <c r="C564" s="105">
        <v>3.3827618164967585E-2</v>
      </c>
      <c r="E564" s="149">
        <v>44782</v>
      </c>
      <c r="F564" s="150">
        <v>7278.6</v>
      </c>
      <c r="G564">
        <v>5.5120394545982773E-3</v>
      </c>
    </row>
    <row r="565" spans="1:7" x14ac:dyDescent="0.2">
      <c r="A565" t="s">
        <v>746</v>
      </c>
      <c r="B565">
        <v>21.41</v>
      </c>
      <c r="C565" s="105">
        <v>-4.0340654415060448E-2</v>
      </c>
      <c r="E565" s="149">
        <v>44781</v>
      </c>
      <c r="F565" s="150">
        <v>7259.5</v>
      </c>
      <c r="G565">
        <v>-2.6241310142060786E-3</v>
      </c>
    </row>
    <row r="566" spans="1:7" x14ac:dyDescent="0.2">
      <c r="A566" t="s">
        <v>747</v>
      </c>
      <c r="B566">
        <v>21.61</v>
      </c>
      <c r="C566" s="105">
        <v>9.3414292386734838E-3</v>
      </c>
      <c r="E566" s="149">
        <v>44778</v>
      </c>
      <c r="F566" s="150">
        <v>7250.3</v>
      </c>
      <c r="G566">
        <v>-1.2673049108065043E-3</v>
      </c>
    </row>
    <row r="567" spans="1:7" x14ac:dyDescent="0.2">
      <c r="A567" t="s">
        <v>748</v>
      </c>
      <c r="B567">
        <v>21.05</v>
      </c>
      <c r="C567" s="105">
        <v>-2.5913928736695915E-2</v>
      </c>
      <c r="E567" s="149">
        <v>44777</v>
      </c>
      <c r="F567" s="150">
        <v>7207.5</v>
      </c>
      <c r="G567">
        <v>-5.9032040053515278E-3</v>
      </c>
    </row>
    <row r="568" spans="1:7" x14ac:dyDescent="0.2">
      <c r="A568" t="s">
        <v>749</v>
      </c>
      <c r="B568">
        <v>20.93</v>
      </c>
      <c r="C568" s="105">
        <v>-5.7007125890736815E-3</v>
      </c>
      <c r="E568" s="149">
        <v>44776</v>
      </c>
      <c r="F568" s="150">
        <v>7202.9</v>
      </c>
      <c r="G568">
        <v>-6.382240721471195E-4</v>
      </c>
    </row>
    <row r="569" spans="1:7" x14ac:dyDescent="0.2">
      <c r="A569" t="s">
        <v>750</v>
      </c>
      <c r="B569">
        <v>20.94</v>
      </c>
      <c r="C569" s="105">
        <v>4.7778308647881333E-4</v>
      </c>
      <c r="E569" s="149">
        <v>44775</v>
      </c>
      <c r="F569" s="150">
        <v>7216.4</v>
      </c>
      <c r="G569">
        <v>1.8742450957253329E-3</v>
      </c>
    </row>
    <row r="570" spans="1:7" x14ac:dyDescent="0.2">
      <c r="A570" t="s">
        <v>751</v>
      </c>
      <c r="B570">
        <v>20.28</v>
      </c>
      <c r="C570" s="105">
        <v>-3.1518624641833817E-2</v>
      </c>
      <c r="E570" s="149">
        <v>44774</v>
      </c>
      <c r="F570" s="150">
        <v>7213</v>
      </c>
      <c r="G570">
        <v>-4.7114904938745585E-4</v>
      </c>
    </row>
    <row r="571" spans="1:7" x14ac:dyDescent="0.2">
      <c r="A571" t="s">
        <v>752</v>
      </c>
      <c r="B571">
        <v>20.309999999999999</v>
      </c>
      <c r="C571" s="105">
        <v>1.4792899408282831E-3</v>
      </c>
      <c r="E571" s="149">
        <v>44771</v>
      </c>
      <c r="F571" s="150">
        <v>7173.8</v>
      </c>
      <c r="G571">
        <v>-5.4346319145986161E-3</v>
      </c>
    </row>
    <row r="572" spans="1:7" x14ac:dyDescent="0.2">
      <c r="A572" t="s">
        <v>753</v>
      </c>
      <c r="B572">
        <v>20</v>
      </c>
      <c r="C572" s="105">
        <v>-1.5263417035942823E-2</v>
      </c>
      <c r="E572" s="149">
        <v>44770</v>
      </c>
      <c r="F572" s="150">
        <v>7115.9</v>
      </c>
      <c r="G572">
        <v>-8.0710362708746475E-3</v>
      </c>
    </row>
    <row r="573" spans="1:7" x14ac:dyDescent="0.2">
      <c r="A573" t="s">
        <v>754</v>
      </c>
      <c r="B573">
        <v>18.95</v>
      </c>
      <c r="C573" s="105">
        <v>-5.2500000000000033E-2</v>
      </c>
      <c r="E573" s="149">
        <v>44769</v>
      </c>
      <c r="F573" s="150">
        <v>7038.1</v>
      </c>
      <c r="G573">
        <v>-1.0933262131283362E-2</v>
      </c>
    </row>
    <row r="574" spans="1:7" x14ac:dyDescent="0.2">
      <c r="A574" t="s">
        <v>755</v>
      </c>
      <c r="B574">
        <v>18.37</v>
      </c>
      <c r="C574" s="105">
        <v>-3.0606860158311256E-2</v>
      </c>
      <c r="E574" s="149">
        <v>44768</v>
      </c>
      <c r="F574" s="150">
        <v>7025.2</v>
      </c>
      <c r="G574">
        <v>-1.8328810332334784E-3</v>
      </c>
    </row>
    <row r="575" spans="1:7" x14ac:dyDescent="0.2">
      <c r="A575" t="s">
        <v>756</v>
      </c>
      <c r="B575">
        <v>19.239999999999998</v>
      </c>
      <c r="C575" s="105">
        <v>4.7359825802939431E-2</v>
      </c>
      <c r="E575" s="149">
        <v>44767</v>
      </c>
      <c r="F575" s="150">
        <v>7006.4</v>
      </c>
      <c r="G575">
        <v>-2.6760803962876762E-3</v>
      </c>
    </row>
    <row r="576" spans="1:7" x14ac:dyDescent="0.2">
      <c r="A576" t="s">
        <v>757</v>
      </c>
      <c r="B576">
        <v>19.7</v>
      </c>
      <c r="C576" s="105">
        <v>2.3908523908523955E-2</v>
      </c>
      <c r="E576" s="149">
        <v>44764</v>
      </c>
      <c r="F576" s="150">
        <v>7011.8</v>
      </c>
      <c r="G576">
        <v>7.7072390956847258E-4</v>
      </c>
    </row>
    <row r="577" spans="1:7" x14ac:dyDescent="0.2">
      <c r="A577" t="s">
        <v>758</v>
      </c>
      <c r="B577">
        <v>20.260000000000002</v>
      </c>
      <c r="C577" s="105">
        <v>2.8426395939086409E-2</v>
      </c>
      <c r="E577" s="149">
        <v>44763</v>
      </c>
      <c r="F577" s="150">
        <v>7018.4</v>
      </c>
      <c r="G577">
        <v>9.4127042984675174E-4</v>
      </c>
    </row>
    <row r="578" spans="1:7" x14ac:dyDescent="0.2">
      <c r="A578" t="s">
        <v>759</v>
      </c>
      <c r="B578">
        <v>19.77</v>
      </c>
      <c r="C578" s="105">
        <v>-2.4185587364264658E-2</v>
      </c>
      <c r="E578" s="149">
        <v>44762</v>
      </c>
      <c r="F578" s="150">
        <v>6975.2</v>
      </c>
      <c r="G578">
        <v>-6.155249059614701E-3</v>
      </c>
    </row>
    <row r="579" spans="1:7" x14ac:dyDescent="0.2">
      <c r="A579" t="s">
        <v>760</v>
      </c>
      <c r="B579">
        <v>19.190000000000001</v>
      </c>
      <c r="C579" s="105">
        <v>-2.9337379868487522E-2</v>
      </c>
      <c r="E579" s="149">
        <v>44761</v>
      </c>
      <c r="F579" s="150">
        <v>6853</v>
      </c>
      <c r="G579">
        <v>-1.751921091868331E-2</v>
      </c>
    </row>
    <row r="580" spans="1:7" x14ac:dyDescent="0.2">
      <c r="A580" t="s">
        <v>761</v>
      </c>
      <c r="B580">
        <v>19.29</v>
      </c>
      <c r="C580" s="105">
        <v>5.2110474205314151E-3</v>
      </c>
      <c r="E580" s="149">
        <v>44760</v>
      </c>
      <c r="F580" s="150">
        <v>6888</v>
      </c>
      <c r="G580">
        <v>5.1072522982635342E-3</v>
      </c>
    </row>
    <row r="581" spans="1:7" x14ac:dyDescent="0.2">
      <c r="A581" t="s">
        <v>762</v>
      </c>
      <c r="B581">
        <v>18.66</v>
      </c>
      <c r="C581" s="105">
        <v>-3.2659409020217682E-2</v>
      </c>
      <c r="E581" s="149">
        <v>44757</v>
      </c>
      <c r="F581" s="150">
        <v>6798</v>
      </c>
      <c r="G581">
        <v>-1.3066202090592335E-2</v>
      </c>
    </row>
    <row r="582" spans="1:7" x14ac:dyDescent="0.2">
      <c r="A582" t="s">
        <v>763</v>
      </c>
      <c r="B582">
        <v>18.87</v>
      </c>
      <c r="C582" s="105">
        <v>1.1254019292604547E-2</v>
      </c>
      <c r="E582" s="149">
        <v>44756</v>
      </c>
      <c r="F582" s="150">
        <v>6848.6</v>
      </c>
      <c r="G582">
        <v>7.4433656957929341E-3</v>
      </c>
    </row>
    <row r="583" spans="1:7" x14ac:dyDescent="0.2">
      <c r="A583" t="s">
        <v>764</v>
      </c>
      <c r="B583">
        <v>18.850000000000001</v>
      </c>
      <c r="C583" s="105">
        <v>-1.0598834128245666E-3</v>
      </c>
      <c r="E583" s="149">
        <v>44755</v>
      </c>
      <c r="F583" s="150">
        <v>6807.8</v>
      </c>
      <c r="G583">
        <v>-5.9574219548521124E-3</v>
      </c>
    </row>
    <row r="584" spans="1:7" x14ac:dyDescent="0.2">
      <c r="A584" t="s">
        <v>765</v>
      </c>
      <c r="B584">
        <v>18.510000000000002</v>
      </c>
      <c r="C584" s="105">
        <v>-1.8037135278514579E-2</v>
      </c>
      <c r="E584" s="149">
        <v>44754</v>
      </c>
      <c r="F584" s="150">
        <v>6786.8</v>
      </c>
      <c r="G584">
        <v>-3.0846969652457475E-3</v>
      </c>
    </row>
    <row r="585" spans="1:7" x14ac:dyDescent="0.2">
      <c r="A585" t="s">
        <v>766</v>
      </c>
      <c r="B585">
        <v>18.84</v>
      </c>
      <c r="C585" s="105">
        <v>1.7828200972447233E-2</v>
      </c>
      <c r="E585" s="149">
        <v>44753</v>
      </c>
      <c r="F585" s="150">
        <v>6792.6</v>
      </c>
      <c r="G585">
        <v>8.5460010608831582E-4</v>
      </c>
    </row>
    <row r="586" spans="1:7" x14ac:dyDescent="0.2">
      <c r="A586" t="s">
        <v>767</v>
      </c>
      <c r="B586">
        <v>19.170000000000002</v>
      </c>
      <c r="C586" s="105">
        <v>1.7515923566879078E-2</v>
      </c>
      <c r="E586" s="149">
        <v>44750</v>
      </c>
      <c r="F586" s="150">
        <v>6877</v>
      </c>
      <c r="G586">
        <v>1.2425286341018112E-2</v>
      </c>
    </row>
    <row r="587" spans="1:7" x14ac:dyDescent="0.2">
      <c r="A587" t="s">
        <v>768</v>
      </c>
      <c r="B587">
        <v>18.899999999999999</v>
      </c>
      <c r="C587" s="105">
        <v>-1.4084507042253683E-2</v>
      </c>
      <c r="E587" s="149">
        <v>44749</v>
      </c>
      <c r="F587" s="150">
        <v>6836.9</v>
      </c>
      <c r="G587">
        <v>-5.8310309728079636E-3</v>
      </c>
    </row>
    <row r="588" spans="1:7" x14ac:dyDescent="0.2">
      <c r="A588" t="s">
        <v>769</v>
      </c>
      <c r="B588">
        <v>18.88</v>
      </c>
      <c r="C588" s="105">
        <v>-1.0582010582010357E-3</v>
      </c>
      <c r="E588" s="149">
        <v>44748</v>
      </c>
      <c r="F588" s="150">
        <v>6784.3</v>
      </c>
      <c r="G588">
        <v>-7.6935453202474011E-3</v>
      </c>
    </row>
    <row r="589" spans="1:7" x14ac:dyDescent="0.2">
      <c r="A589" t="s">
        <v>770</v>
      </c>
      <c r="B589">
        <v>18.57</v>
      </c>
      <c r="C589" s="105">
        <v>-1.6419491525423661E-2</v>
      </c>
      <c r="E589" s="149">
        <v>44747</v>
      </c>
      <c r="F589" s="150">
        <v>6818.1</v>
      </c>
      <c r="G589">
        <v>4.9820910042303818E-3</v>
      </c>
    </row>
    <row r="590" spans="1:7" x14ac:dyDescent="0.2">
      <c r="A590" t="s">
        <v>771</v>
      </c>
      <c r="B590">
        <v>18.45</v>
      </c>
      <c r="C590" s="105">
        <v>-6.4620355411955299E-3</v>
      </c>
      <c r="E590" s="149">
        <v>44746</v>
      </c>
      <c r="F590" s="150">
        <v>6796.9</v>
      </c>
      <c r="G590">
        <v>-3.1093706457811891E-3</v>
      </c>
    </row>
    <row r="591" spans="1:7" x14ac:dyDescent="0.2">
      <c r="A591" t="s">
        <v>772</v>
      </c>
      <c r="B591">
        <v>17.559999999999999</v>
      </c>
      <c r="C591" s="105">
        <v>-4.823848238482388E-2</v>
      </c>
      <c r="E591" s="149">
        <v>44743</v>
      </c>
      <c r="F591" s="150">
        <v>6720.4</v>
      </c>
      <c r="G591">
        <v>-1.1255131015610058E-2</v>
      </c>
    </row>
    <row r="592" spans="1:7" x14ac:dyDescent="0.2">
      <c r="A592" t="s">
        <v>773</v>
      </c>
      <c r="B592">
        <v>17.420000000000002</v>
      </c>
      <c r="C592" s="105">
        <v>-7.972665148063612E-3</v>
      </c>
      <c r="E592" s="149">
        <v>44742</v>
      </c>
      <c r="F592" s="150">
        <v>6746.5</v>
      </c>
      <c r="G592">
        <v>3.8836973989644016E-3</v>
      </c>
    </row>
    <row r="593" spans="1:7" x14ac:dyDescent="0.2">
      <c r="A593" t="s">
        <v>774</v>
      </c>
      <c r="B593">
        <v>17.89</v>
      </c>
      <c r="C593" s="105">
        <v>2.6980482204362735E-2</v>
      </c>
      <c r="E593" s="149">
        <v>44741</v>
      </c>
      <c r="F593" s="150">
        <v>6877.9</v>
      </c>
      <c r="G593">
        <v>1.947676573037866E-2</v>
      </c>
    </row>
    <row r="594" spans="1:7" x14ac:dyDescent="0.2">
      <c r="A594" t="s">
        <v>775</v>
      </c>
      <c r="B594">
        <v>18.63</v>
      </c>
      <c r="C594" s="105">
        <v>4.1363890441587392E-2</v>
      </c>
      <c r="E594" s="149">
        <v>44740</v>
      </c>
      <c r="F594" s="150">
        <v>6953.4</v>
      </c>
      <c r="G594">
        <v>1.0977187804417046E-2</v>
      </c>
    </row>
    <row r="595" spans="1:7" x14ac:dyDescent="0.2">
      <c r="A595" t="s">
        <v>776</v>
      </c>
      <c r="B595">
        <v>18.72</v>
      </c>
      <c r="C595" s="105">
        <v>4.8309178743961281E-3</v>
      </c>
      <c r="E595" s="149">
        <v>44739</v>
      </c>
      <c r="F595" s="150">
        <v>6893.6</v>
      </c>
      <c r="G595">
        <v>-8.6001092990478437E-3</v>
      </c>
    </row>
    <row r="596" spans="1:7" x14ac:dyDescent="0.2">
      <c r="A596" t="s">
        <v>777</v>
      </c>
      <c r="B596">
        <v>18.04</v>
      </c>
      <c r="C596" s="105">
        <v>-3.6324786324786314E-2</v>
      </c>
      <c r="E596" s="149">
        <v>44736</v>
      </c>
      <c r="F596" s="150">
        <v>6762.4</v>
      </c>
      <c r="G596">
        <v>-1.9032145758384692E-2</v>
      </c>
    </row>
    <row r="597" spans="1:7" x14ac:dyDescent="0.2">
      <c r="A597" t="s">
        <v>778</v>
      </c>
      <c r="B597">
        <v>16.899999999999999</v>
      </c>
      <c r="C597" s="105">
        <v>-6.3192904656319326E-2</v>
      </c>
      <c r="E597" s="149">
        <v>44735</v>
      </c>
      <c r="F597" s="150">
        <v>6691.4</v>
      </c>
      <c r="G597">
        <v>-1.0499231042233527E-2</v>
      </c>
    </row>
    <row r="598" spans="1:7" x14ac:dyDescent="0.2">
      <c r="A598" t="s">
        <v>779</v>
      </c>
      <c r="B598">
        <v>16.739999999999998</v>
      </c>
      <c r="C598" s="105">
        <v>-9.4674556213017839E-3</v>
      </c>
      <c r="E598" s="149">
        <v>44734</v>
      </c>
      <c r="F598" s="150">
        <v>6682.3</v>
      </c>
      <c r="G598">
        <v>-1.3599545685505955E-3</v>
      </c>
    </row>
    <row r="599" spans="1:7" x14ac:dyDescent="0.2">
      <c r="A599" t="s">
        <v>780</v>
      </c>
      <c r="B599">
        <v>17.12</v>
      </c>
      <c r="C599" s="105">
        <v>2.2700119474313177E-2</v>
      </c>
      <c r="E599" s="149">
        <v>44733</v>
      </c>
      <c r="F599" s="150">
        <v>6700.8</v>
      </c>
      <c r="G599">
        <v>2.768507849093875E-3</v>
      </c>
    </row>
    <row r="600" spans="1:7" x14ac:dyDescent="0.2">
      <c r="A600" t="s">
        <v>781</v>
      </c>
      <c r="B600">
        <v>17.07</v>
      </c>
      <c r="C600" s="105">
        <v>-2.9205607476635929E-3</v>
      </c>
      <c r="E600" s="149">
        <v>44732</v>
      </c>
      <c r="F600" s="150">
        <v>6609.5</v>
      </c>
      <c r="G600">
        <v>-1.3625238777459435E-2</v>
      </c>
    </row>
    <row r="601" spans="1:7" x14ac:dyDescent="0.2">
      <c r="A601" t="s">
        <v>782</v>
      </c>
      <c r="B601">
        <v>16.46</v>
      </c>
      <c r="C601" s="105">
        <v>-3.5735207967193872E-2</v>
      </c>
      <c r="E601" s="149">
        <v>44729</v>
      </c>
      <c r="F601" s="150">
        <v>6663.3</v>
      </c>
      <c r="G601">
        <v>8.1397987744912907E-3</v>
      </c>
    </row>
    <row r="602" spans="1:7" x14ac:dyDescent="0.2">
      <c r="A602" t="s">
        <v>783</v>
      </c>
      <c r="B602">
        <v>16.68</v>
      </c>
      <c r="C602" s="105">
        <v>1.3365735115431279E-2</v>
      </c>
      <c r="E602" s="149">
        <v>44728</v>
      </c>
      <c r="F602" s="150">
        <v>6783.7</v>
      </c>
      <c r="G602">
        <v>1.8069124908078524E-2</v>
      </c>
    </row>
    <row r="603" spans="1:7" x14ac:dyDescent="0.2">
      <c r="A603" t="s">
        <v>784</v>
      </c>
      <c r="B603">
        <v>16.690000000000001</v>
      </c>
      <c r="C603" s="105">
        <v>5.9952038369313931E-4</v>
      </c>
      <c r="E603" s="149">
        <v>44727</v>
      </c>
      <c r="F603" s="150">
        <v>6785.8</v>
      </c>
      <c r="G603">
        <v>3.0956557630796818E-4</v>
      </c>
    </row>
    <row r="604" spans="1:7" x14ac:dyDescent="0.2">
      <c r="A604" t="s">
        <v>785</v>
      </c>
      <c r="B604">
        <v>17.36</v>
      </c>
      <c r="C604" s="105">
        <v>4.0143798681845304E-2</v>
      </c>
      <c r="E604" s="149">
        <v>44726</v>
      </c>
      <c r="F604" s="150">
        <v>6881.2</v>
      </c>
      <c r="G604">
        <v>1.4058769783960569E-2</v>
      </c>
    </row>
    <row r="605" spans="1:7" x14ac:dyDescent="0.2">
      <c r="A605" t="s">
        <v>786</v>
      </c>
      <c r="B605">
        <v>17.62</v>
      </c>
      <c r="C605" s="105">
        <v>1.4976958525345713E-2</v>
      </c>
      <c r="E605" s="149">
        <v>44722</v>
      </c>
      <c r="F605" s="150">
        <v>7145.2</v>
      </c>
      <c r="G605">
        <v>3.8365401383479623E-2</v>
      </c>
    </row>
    <row r="606" spans="1:7" x14ac:dyDescent="0.2">
      <c r="A606" t="s">
        <v>787</v>
      </c>
      <c r="B606">
        <v>17.440000000000001</v>
      </c>
      <c r="C606" s="105">
        <v>-1.0215664018161165E-2</v>
      </c>
      <c r="E606" s="149">
        <v>44721</v>
      </c>
      <c r="F606" s="150">
        <v>7240.4</v>
      </c>
      <c r="G606">
        <v>1.3323629849409369E-2</v>
      </c>
    </row>
    <row r="607" spans="1:7" x14ac:dyDescent="0.2">
      <c r="A607" t="s">
        <v>788</v>
      </c>
      <c r="B607">
        <v>18.149999999999999</v>
      </c>
      <c r="C607" s="105">
        <v>4.0711009174311766E-2</v>
      </c>
      <c r="E607" s="149">
        <v>44720</v>
      </c>
      <c r="F607" s="150">
        <v>7347</v>
      </c>
      <c r="G607">
        <v>1.4722943483785477E-2</v>
      </c>
    </row>
    <row r="608" spans="1:7" x14ac:dyDescent="0.2">
      <c r="A608" t="s">
        <v>789</v>
      </c>
      <c r="B608">
        <v>18.55</v>
      </c>
      <c r="C608" s="105">
        <v>2.2038567493113066E-2</v>
      </c>
      <c r="E608" s="149">
        <v>44719</v>
      </c>
      <c r="F608" s="150">
        <v>7318.6</v>
      </c>
      <c r="G608">
        <v>-3.8655233428609823E-3</v>
      </c>
    </row>
    <row r="609" spans="1:7" x14ac:dyDescent="0.2">
      <c r="A609" t="s">
        <v>790</v>
      </c>
      <c r="B609">
        <v>19.29</v>
      </c>
      <c r="C609" s="105">
        <v>3.989218328840962E-2</v>
      </c>
      <c r="E609" s="149">
        <v>44718</v>
      </c>
      <c r="F609" s="150">
        <v>7433.1</v>
      </c>
      <c r="G609">
        <v>1.5645068728991882E-2</v>
      </c>
    </row>
    <row r="610" spans="1:7" x14ac:dyDescent="0.2">
      <c r="A610" t="s">
        <v>791</v>
      </c>
      <c r="B610">
        <v>19.8</v>
      </c>
      <c r="C610" s="105">
        <v>2.6438569206843007E-2</v>
      </c>
      <c r="E610" s="149">
        <v>44715</v>
      </c>
      <c r="F610" s="150">
        <v>7472.4</v>
      </c>
      <c r="G610">
        <v>5.2871614804051162E-3</v>
      </c>
    </row>
    <row r="611" spans="1:7" x14ac:dyDescent="0.2">
      <c r="A611" t="s">
        <v>792</v>
      </c>
      <c r="B611">
        <v>19.87</v>
      </c>
      <c r="C611" s="105">
        <v>3.5353535353535494E-3</v>
      </c>
      <c r="E611" s="149">
        <v>44714</v>
      </c>
      <c r="F611" s="150">
        <v>7400.8</v>
      </c>
      <c r="G611">
        <v>-9.5819281623038734E-3</v>
      </c>
    </row>
    <row r="612" spans="1:7" x14ac:dyDescent="0.2">
      <c r="A612" t="s">
        <v>793</v>
      </c>
      <c r="B612">
        <v>20.56</v>
      </c>
      <c r="C612" s="105">
        <v>3.4725717161549957E-2</v>
      </c>
      <c r="E612" s="149">
        <v>44713</v>
      </c>
      <c r="F612" s="150">
        <v>7462.9</v>
      </c>
      <c r="G612">
        <v>8.3909847584044232E-3</v>
      </c>
    </row>
    <row r="613" spans="1:7" x14ac:dyDescent="0.2">
      <c r="A613" t="s">
        <v>794</v>
      </c>
      <c r="B613">
        <v>20.65</v>
      </c>
      <c r="C613" s="105">
        <v>4.3774319066147791E-3</v>
      </c>
      <c r="E613" s="149">
        <v>44712</v>
      </c>
      <c r="F613" s="150">
        <v>7455.2</v>
      </c>
      <c r="G613">
        <v>-1.0317704913639226E-3</v>
      </c>
    </row>
    <row r="614" spans="1:7" x14ac:dyDescent="0.2">
      <c r="A614" t="s">
        <v>795</v>
      </c>
      <c r="B614">
        <v>20.87</v>
      </c>
      <c r="C614" s="105">
        <v>1.06537530266345E-2</v>
      </c>
      <c r="E614" s="149">
        <v>44711</v>
      </c>
      <c r="F614" s="150">
        <v>7522.6</v>
      </c>
      <c r="G614">
        <v>9.0406695997425346E-3</v>
      </c>
    </row>
    <row r="615" spans="1:7" x14ac:dyDescent="0.2">
      <c r="A615" t="s">
        <v>796</v>
      </c>
      <c r="B615">
        <v>20</v>
      </c>
      <c r="C615" s="105">
        <v>-4.168663152850987E-2</v>
      </c>
      <c r="E615" s="149">
        <v>44708</v>
      </c>
      <c r="F615" s="150">
        <v>7413.1</v>
      </c>
      <c r="G615">
        <v>-1.4556137505649642E-2</v>
      </c>
    </row>
    <row r="616" spans="1:7" x14ac:dyDescent="0.2">
      <c r="A616" t="s">
        <v>797</v>
      </c>
      <c r="B616">
        <v>19.37</v>
      </c>
      <c r="C616" s="105">
        <v>-3.1499999999999952E-2</v>
      </c>
      <c r="E616" s="149">
        <v>44707</v>
      </c>
      <c r="F616" s="150">
        <v>7339.3</v>
      </c>
      <c r="G616">
        <v>-9.9553493140521754E-3</v>
      </c>
    </row>
    <row r="617" spans="1:7" x14ac:dyDescent="0.2">
      <c r="A617" t="s">
        <v>798</v>
      </c>
      <c r="B617">
        <v>19.37</v>
      </c>
      <c r="C617" s="105">
        <v>0</v>
      </c>
      <c r="E617" s="149">
        <v>44706</v>
      </c>
      <c r="F617" s="150">
        <v>7391.7</v>
      </c>
      <c r="G617">
        <v>7.1396454702764072E-3</v>
      </c>
    </row>
    <row r="618" spans="1:7" x14ac:dyDescent="0.2">
      <c r="A618" t="s">
        <v>799</v>
      </c>
      <c r="B618">
        <v>20.09</v>
      </c>
      <c r="C618" s="105">
        <v>3.7170882808466643E-2</v>
      </c>
      <c r="E618" s="149">
        <v>44705</v>
      </c>
      <c r="F618" s="150">
        <v>7373.2</v>
      </c>
      <c r="G618">
        <v>-2.5028072026732689E-3</v>
      </c>
    </row>
    <row r="619" spans="1:7" x14ac:dyDescent="0.2">
      <c r="A619" t="s">
        <v>800</v>
      </c>
      <c r="B619">
        <v>20.11</v>
      </c>
      <c r="C619" s="105">
        <v>9.955201592832042E-4</v>
      </c>
      <c r="E619" s="149">
        <v>44704</v>
      </c>
      <c r="F619" s="150">
        <v>7398.9</v>
      </c>
      <c r="G619">
        <v>3.4855964845656997E-3</v>
      </c>
    </row>
    <row r="620" spans="1:7" x14ac:dyDescent="0.2">
      <c r="A620" t="s">
        <v>801</v>
      </c>
      <c r="B620">
        <v>19.96</v>
      </c>
      <c r="C620" s="105">
        <v>-7.4589756340128583E-3</v>
      </c>
      <c r="E620" s="149">
        <v>44701</v>
      </c>
      <c r="F620" s="150">
        <v>7391</v>
      </c>
      <c r="G620">
        <v>-1.0677262836367076E-3</v>
      </c>
    </row>
    <row r="621" spans="1:7" x14ac:dyDescent="0.2">
      <c r="A621" t="s">
        <v>802</v>
      </c>
      <c r="B621">
        <v>19.97</v>
      </c>
      <c r="C621" s="105">
        <v>5.0100200400791635E-4</v>
      </c>
      <c r="E621" s="149">
        <v>44700</v>
      </c>
      <c r="F621" s="150">
        <v>7303.3</v>
      </c>
      <c r="G621">
        <v>-1.1865782708699745E-2</v>
      </c>
    </row>
    <row r="622" spans="1:7" x14ac:dyDescent="0.2">
      <c r="A622" t="s">
        <v>803</v>
      </c>
      <c r="B622">
        <v>20.82</v>
      </c>
      <c r="C622" s="105">
        <v>4.2563845768653054E-2</v>
      </c>
      <c r="E622" s="149">
        <v>44699</v>
      </c>
      <c r="F622" s="150">
        <v>7426.6</v>
      </c>
      <c r="G622">
        <v>1.6882779017704349E-2</v>
      </c>
    </row>
    <row r="623" spans="1:7" x14ac:dyDescent="0.2">
      <c r="A623" t="s">
        <v>804</v>
      </c>
      <c r="B623">
        <v>20.6</v>
      </c>
      <c r="C623" s="105">
        <v>-1.0566762728145959E-2</v>
      </c>
      <c r="E623" s="149">
        <v>44698</v>
      </c>
      <c r="F623" s="150">
        <v>7350.6</v>
      </c>
      <c r="G623">
        <v>-1.0233485040260684E-2</v>
      </c>
    </row>
    <row r="624" spans="1:7" x14ac:dyDescent="0.2">
      <c r="A624" t="s">
        <v>805</v>
      </c>
      <c r="B624">
        <v>21</v>
      </c>
      <c r="C624" s="105">
        <v>1.9417475728155269E-2</v>
      </c>
      <c r="E624" s="149">
        <v>44697</v>
      </c>
      <c r="F624" s="150">
        <v>7326.2</v>
      </c>
      <c r="G624">
        <v>-3.319456915081836E-3</v>
      </c>
    </row>
    <row r="625" spans="1:7" x14ac:dyDescent="0.2">
      <c r="A625" t="s">
        <v>806</v>
      </c>
      <c r="B625">
        <v>21.35</v>
      </c>
      <c r="C625" s="105">
        <v>1.6666666666666736E-2</v>
      </c>
      <c r="E625" s="149">
        <v>44694</v>
      </c>
      <c r="F625" s="150">
        <v>7307.7</v>
      </c>
      <c r="G625">
        <v>-2.5251835876716443E-3</v>
      </c>
    </row>
    <row r="626" spans="1:7" x14ac:dyDescent="0.2">
      <c r="A626" t="s">
        <v>807</v>
      </c>
      <c r="B626">
        <v>20.77</v>
      </c>
      <c r="C626" s="105">
        <v>-2.71662763466043E-2</v>
      </c>
      <c r="E626" s="149">
        <v>44693</v>
      </c>
      <c r="F626" s="150">
        <v>7166.6</v>
      </c>
      <c r="G626">
        <v>-1.9308400727999161E-2</v>
      </c>
    </row>
    <row r="627" spans="1:7" x14ac:dyDescent="0.2">
      <c r="A627" t="s">
        <v>808</v>
      </c>
      <c r="B627">
        <v>21.92</v>
      </c>
      <c r="C627" s="105">
        <v>5.5368319691863371E-2</v>
      </c>
      <c r="E627" s="149">
        <v>44692</v>
      </c>
      <c r="F627" s="150">
        <v>7304.4</v>
      </c>
      <c r="G627">
        <v>1.92280858426589E-2</v>
      </c>
    </row>
    <row r="628" spans="1:7" x14ac:dyDescent="0.2">
      <c r="A628" t="s">
        <v>809</v>
      </c>
      <c r="B628">
        <v>21.64</v>
      </c>
      <c r="C628" s="105">
        <v>-1.2773722627737277E-2</v>
      </c>
      <c r="E628" s="149">
        <v>44691</v>
      </c>
      <c r="F628" s="150">
        <v>7285.2</v>
      </c>
      <c r="G628">
        <v>-2.6285526531953096E-3</v>
      </c>
    </row>
    <row r="629" spans="1:7" x14ac:dyDescent="0.2">
      <c r="A629" t="s">
        <v>810</v>
      </c>
      <c r="B629">
        <v>21.43</v>
      </c>
      <c r="C629" s="105">
        <v>-9.7042513863216662E-3</v>
      </c>
      <c r="E629" s="149">
        <v>44690</v>
      </c>
      <c r="F629" s="150">
        <v>7357.9</v>
      </c>
      <c r="G629">
        <v>9.9791357821336166E-3</v>
      </c>
    </row>
    <row r="630" spans="1:7" x14ac:dyDescent="0.2">
      <c r="A630" t="s">
        <v>811</v>
      </c>
      <c r="B630">
        <v>21.85</v>
      </c>
      <c r="C630" s="105">
        <v>1.9598693420438719E-2</v>
      </c>
      <c r="E630" s="149">
        <v>44687</v>
      </c>
      <c r="F630" s="150">
        <v>7467.6</v>
      </c>
      <c r="G630">
        <v>1.4909145272428374E-2</v>
      </c>
    </row>
    <row r="631" spans="1:7" x14ac:dyDescent="0.2">
      <c r="A631" t="s">
        <v>812</v>
      </c>
      <c r="B631">
        <v>22.76</v>
      </c>
      <c r="C631" s="105">
        <v>4.1647597254004583E-2</v>
      </c>
      <c r="E631" s="149">
        <v>44686</v>
      </c>
      <c r="F631" s="150">
        <v>7639.2</v>
      </c>
      <c r="G631">
        <v>2.2979270448336742E-2</v>
      </c>
    </row>
    <row r="632" spans="1:7" x14ac:dyDescent="0.2">
      <c r="A632" t="s">
        <v>813</v>
      </c>
      <c r="B632">
        <v>22.05</v>
      </c>
      <c r="C632" s="105">
        <v>-3.1195079086116028E-2</v>
      </c>
      <c r="E632" s="149">
        <v>44685</v>
      </c>
      <c r="F632" s="150">
        <v>7564.8</v>
      </c>
      <c r="G632">
        <v>-9.7392397109644507E-3</v>
      </c>
    </row>
    <row r="633" spans="1:7" x14ac:dyDescent="0.2">
      <c r="A633" t="s">
        <v>814</v>
      </c>
      <c r="B633">
        <v>22.19</v>
      </c>
      <c r="C633" s="105">
        <v>6.3492063492063744E-3</v>
      </c>
      <c r="E633" s="149">
        <v>44684</v>
      </c>
      <c r="F633" s="150">
        <v>7587.6</v>
      </c>
      <c r="G633">
        <v>3.0139593908629679E-3</v>
      </c>
    </row>
    <row r="634" spans="1:7" x14ac:dyDescent="0.2">
      <c r="A634" t="s">
        <v>815</v>
      </c>
      <c r="B634">
        <v>22.58</v>
      </c>
      <c r="C634" s="105">
        <v>1.7575484452455926E-2</v>
      </c>
      <c r="E634" s="149">
        <v>44683</v>
      </c>
      <c r="F634" s="150">
        <v>7623.6</v>
      </c>
      <c r="G634">
        <v>4.7445832674363432E-3</v>
      </c>
    </row>
    <row r="635" spans="1:7" x14ac:dyDescent="0.2">
      <c r="A635" t="s">
        <v>816</v>
      </c>
      <c r="B635">
        <v>23.34</v>
      </c>
      <c r="C635" s="105">
        <v>3.3658104517271997E-2</v>
      </c>
      <c r="E635" s="149">
        <v>44680</v>
      </c>
      <c r="F635" s="150">
        <v>7724.8</v>
      </c>
      <c r="G635">
        <v>1.3274568445353876E-2</v>
      </c>
    </row>
    <row r="636" spans="1:7" x14ac:dyDescent="0.2">
      <c r="A636" t="s">
        <v>817</v>
      </c>
      <c r="B636">
        <v>23.27</v>
      </c>
      <c r="C636" s="105">
        <v>-2.9991431019708776E-3</v>
      </c>
      <c r="E636" s="149">
        <v>44679</v>
      </c>
      <c r="F636" s="150">
        <v>7642.4</v>
      </c>
      <c r="G636">
        <v>-1.0666942833471487E-2</v>
      </c>
    </row>
    <row r="637" spans="1:7" x14ac:dyDescent="0.2">
      <c r="A637" t="s">
        <v>818</v>
      </c>
      <c r="B637">
        <v>23.75</v>
      </c>
      <c r="C637" s="105">
        <v>2.0627417275461989E-2</v>
      </c>
      <c r="E637" s="149">
        <v>44678</v>
      </c>
      <c r="F637" s="150">
        <v>7547</v>
      </c>
      <c r="G637">
        <v>-1.2482989636763274E-2</v>
      </c>
    </row>
    <row r="638" spans="1:7" x14ac:dyDescent="0.2">
      <c r="A638" t="s">
        <v>819</v>
      </c>
      <c r="B638">
        <v>24.1</v>
      </c>
      <c r="C638" s="105">
        <v>1.4736842105263218E-2</v>
      </c>
      <c r="E638" s="149">
        <v>44677</v>
      </c>
      <c r="F638" s="150">
        <v>7604</v>
      </c>
      <c r="G638">
        <v>7.5526699350735391E-3</v>
      </c>
    </row>
    <row r="639" spans="1:7" x14ac:dyDescent="0.2">
      <c r="A639" t="s">
        <v>820</v>
      </c>
      <c r="B639">
        <v>24.34</v>
      </c>
      <c r="C639" s="105">
        <v>9.9585062240663252E-3</v>
      </c>
      <c r="E639" s="149">
        <v>44673</v>
      </c>
      <c r="F639" s="150">
        <v>7768.2</v>
      </c>
      <c r="G639">
        <v>2.1593897948448161E-2</v>
      </c>
    </row>
    <row r="640" spans="1:7" x14ac:dyDescent="0.2">
      <c r="A640" t="s">
        <v>821</v>
      </c>
      <c r="B640">
        <v>24.95</v>
      </c>
      <c r="C640" s="105">
        <v>2.5061626951520109E-2</v>
      </c>
      <c r="E640" s="149">
        <v>44672</v>
      </c>
      <c r="F640" s="150">
        <v>7887.1</v>
      </c>
      <c r="G640">
        <v>1.5305991091887509E-2</v>
      </c>
    </row>
    <row r="641" spans="1:7" x14ac:dyDescent="0.2">
      <c r="A641" t="s">
        <v>822</v>
      </c>
      <c r="B641">
        <v>24.61</v>
      </c>
      <c r="C641" s="105">
        <v>-1.3627254509018031E-2</v>
      </c>
      <c r="E641" s="149">
        <v>44671</v>
      </c>
      <c r="F641" s="150">
        <v>7869.6</v>
      </c>
      <c r="G641">
        <v>-2.2188129984404914E-3</v>
      </c>
    </row>
    <row r="642" spans="1:7" x14ac:dyDescent="0.2">
      <c r="A642" t="s">
        <v>823</v>
      </c>
      <c r="B642">
        <v>24.64</v>
      </c>
      <c r="C642" s="105">
        <v>1.2190166598943981E-3</v>
      </c>
      <c r="E642" s="149">
        <v>44670</v>
      </c>
      <c r="F642" s="150">
        <v>7867.9</v>
      </c>
      <c r="G642">
        <v>-2.160211446580166E-4</v>
      </c>
    </row>
    <row r="643" spans="1:7" x14ac:dyDescent="0.2">
      <c r="A643" t="s">
        <v>824</v>
      </c>
      <c r="B643">
        <v>24.48</v>
      </c>
      <c r="C643" s="105">
        <v>-6.4935064935064991E-3</v>
      </c>
      <c r="E643" s="149">
        <v>44665</v>
      </c>
      <c r="F643" s="150">
        <v>7822.2</v>
      </c>
      <c r="G643">
        <v>-5.8084113931290201E-3</v>
      </c>
    </row>
    <row r="644" spans="1:7" x14ac:dyDescent="0.2">
      <c r="A644" t="s">
        <v>825</v>
      </c>
      <c r="B644">
        <v>24.36</v>
      </c>
      <c r="C644" s="105">
        <v>-4.9019607843137662E-3</v>
      </c>
      <c r="E644" s="149">
        <v>44664</v>
      </c>
      <c r="F644" s="150">
        <v>7772</v>
      </c>
      <c r="G644">
        <v>-6.4176318682723299E-3</v>
      </c>
    </row>
    <row r="645" spans="1:7" x14ac:dyDescent="0.2">
      <c r="A645" t="s">
        <v>826</v>
      </c>
      <c r="B645">
        <v>24.19</v>
      </c>
      <c r="C645" s="105">
        <v>-6.978653530377593E-3</v>
      </c>
      <c r="E645" s="149">
        <v>44663</v>
      </c>
      <c r="F645" s="150">
        <v>7735.5</v>
      </c>
      <c r="G645">
        <v>-4.6963458569222851E-3</v>
      </c>
    </row>
    <row r="646" spans="1:7" x14ac:dyDescent="0.2">
      <c r="A646" t="s">
        <v>827</v>
      </c>
      <c r="B646">
        <v>24.69</v>
      </c>
      <c r="C646" s="105">
        <v>2.0669698222405952E-2</v>
      </c>
      <c r="E646" s="149">
        <v>44662</v>
      </c>
      <c r="F646" s="150">
        <v>7773.2</v>
      </c>
      <c r="G646">
        <v>4.873634542046386E-3</v>
      </c>
    </row>
    <row r="647" spans="1:7" x14ac:dyDescent="0.2">
      <c r="A647" t="s">
        <v>828</v>
      </c>
      <c r="B647">
        <v>24.39</v>
      </c>
      <c r="C647" s="105">
        <v>-1.21506682867558E-2</v>
      </c>
      <c r="E647" s="149">
        <v>44659</v>
      </c>
      <c r="F647" s="150">
        <v>7772</v>
      </c>
      <c r="G647">
        <v>-1.5437657592752254E-4</v>
      </c>
    </row>
    <row r="648" spans="1:7" x14ac:dyDescent="0.2">
      <c r="A648" t="s">
        <v>829</v>
      </c>
      <c r="B648">
        <v>24.29</v>
      </c>
      <c r="C648" s="105">
        <v>-4.1000410004100622E-3</v>
      </c>
      <c r="E648" s="149">
        <v>44658</v>
      </c>
      <c r="F648" s="150">
        <v>7734.8</v>
      </c>
      <c r="G648">
        <v>-4.7864127637673465E-3</v>
      </c>
    </row>
    <row r="649" spans="1:7" x14ac:dyDescent="0.2">
      <c r="A649" t="s">
        <v>830</v>
      </c>
      <c r="B649">
        <v>25.44</v>
      </c>
      <c r="C649" s="105">
        <v>4.7344586249485475E-2</v>
      </c>
      <c r="E649" s="149">
        <v>44657</v>
      </c>
      <c r="F649" s="150">
        <v>7788.3</v>
      </c>
      <c r="G649">
        <v>6.9167916429642654E-3</v>
      </c>
    </row>
    <row r="650" spans="1:7" x14ac:dyDescent="0.2">
      <c r="A650" t="s">
        <v>831</v>
      </c>
      <c r="B650">
        <v>25.59</v>
      </c>
      <c r="C650" s="105">
        <v>5.8962264150942837E-3</v>
      </c>
      <c r="E650" s="149">
        <v>44656</v>
      </c>
      <c r="F650" s="150">
        <v>7833.2</v>
      </c>
      <c r="G650">
        <v>5.7650578431749722E-3</v>
      </c>
    </row>
    <row r="651" spans="1:7" x14ac:dyDescent="0.2">
      <c r="A651" t="s">
        <v>832</v>
      </c>
      <c r="B651">
        <v>25.45</v>
      </c>
      <c r="C651" s="105">
        <v>-5.4708870652598893E-3</v>
      </c>
      <c r="E651" s="149">
        <v>44655</v>
      </c>
      <c r="F651" s="150">
        <v>7818.9</v>
      </c>
      <c r="G651">
        <v>-1.8255629883062072E-3</v>
      </c>
    </row>
    <row r="652" spans="1:7" x14ac:dyDescent="0.2">
      <c r="A652" t="s">
        <v>833</v>
      </c>
      <c r="B652">
        <v>25.95</v>
      </c>
      <c r="C652" s="105">
        <v>1.9646365422396856E-2</v>
      </c>
      <c r="E652" s="149">
        <v>44652</v>
      </c>
      <c r="F652" s="150">
        <v>7785.9</v>
      </c>
      <c r="G652">
        <v>-4.2205425315581481E-3</v>
      </c>
    </row>
    <row r="653" spans="1:7" x14ac:dyDescent="0.2">
      <c r="A653" t="s">
        <v>834</v>
      </c>
      <c r="B653">
        <v>26.57</v>
      </c>
      <c r="C653" s="105">
        <v>2.3892100192678265E-2</v>
      </c>
      <c r="E653" s="149">
        <v>44651</v>
      </c>
      <c r="F653" s="150">
        <v>7789.6</v>
      </c>
      <c r="G653">
        <v>4.7521802232249679E-4</v>
      </c>
    </row>
    <row r="654" spans="1:7" x14ac:dyDescent="0.2">
      <c r="A654" t="s">
        <v>835</v>
      </c>
      <c r="B654">
        <v>27.33</v>
      </c>
      <c r="C654" s="105">
        <v>2.8603688370342415E-2</v>
      </c>
      <c r="E654" s="149">
        <v>44650</v>
      </c>
      <c r="F654" s="150">
        <v>7799.9</v>
      </c>
      <c r="G654">
        <v>1.322275854986042E-3</v>
      </c>
    </row>
    <row r="655" spans="1:7" x14ac:dyDescent="0.2">
      <c r="A655" t="s">
        <v>836</v>
      </c>
      <c r="B655">
        <v>27.02</v>
      </c>
      <c r="C655" s="105">
        <v>-1.1342846688620517E-2</v>
      </c>
      <c r="E655" s="149">
        <v>44649</v>
      </c>
      <c r="F655" s="150">
        <v>7747</v>
      </c>
      <c r="G655">
        <v>-6.7821382325413968E-3</v>
      </c>
    </row>
    <row r="656" spans="1:7" x14ac:dyDescent="0.2">
      <c r="A656" t="s">
        <v>837</v>
      </c>
      <c r="B656">
        <v>26.77</v>
      </c>
      <c r="C656" s="105">
        <v>-9.2524056254626209E-3</v>
      </c>
      <c r="E656" s="149">
        <v>44648</v>
      </c>
      <c r="F656" s="150">
        <v>7689.3</v>
      </c>
      <c r="G656">
        <v>-7.4480444042855061E-3</v>
      </c>
    </row>
    <row r="657" spans="1:7" x14ac:dyDescent="0.2">
      <c r="A657" t="s">
        <v>838</v>
      </c>
      <c r="B657">
        <v>27.3</v>
      </c>
      <c r="C657" s="105">
        <v>1.9798281658573072E-2</v>
      </c>
      <c r="E657" s="149">
        <v>44645</v>
      </c>
      <c r="F657" s="150">
        <v>7689.9</v>
      </c>
      <c r="G657">
        <v>7.8030509929311419E-5</v>
      </c>
    </row>
    <row r="658" spans="1:7" x14ac:dyDescent="0.2">
      <c r="A658" t="s">
        <v>839</v>
      </c>
      <c r="B658">
        <v>27.24</v>
      </c>
      <c r="C658" s="105">
        <v>-2.1978021978022811E-3</v>
      </c>
      <c r="E658" s="149">
        <v>44644</v>
      </c>
      <c r="F658" s="150">
        <v>7669</v>
      </c>
      <c r="G658">
        <v>-2.7178506872650669E-3</v>
      </c>
    </row>
    <row r="659" spans="1:7" x14ac:dyDescent="0.2">
      <c r="A659" t="s">
        <v>840</v>
      </c>
      <c r="B659">
        <v>27.34</v>
      </c>
      <c r="C659" s="105">
        <v>3.6710719530103314E-3</v>
      </c>
      <c r="E659" s="149">
        <v>44643</v>
      </c>
      <c r="F659" s="150">
        <v>7665</v>
      </c>
      <c r="G659">
        <v>-5.2158038857738945E-4</v>
      </c>
    </row>
    <row r="660" spans="1:7" x14ac:dyDescent="0.2">
      <c r="A660" t="s">
        <v>841</v>
      </c>
      <c r="B660">
        <v>27.09</v>
      </c>
      <c r="C660" s="105">
        <v>-9.1441111923920987E-3</v>
      </c>
      <c r="E660" s="149">
        <v>44642</v>
      </c>
      <c r="F660" s="150">
        <v>7620.7</v>
      </c>
      <c r="G660">
        <v>-5.7795172863666254E-3</v>
      </c>
    </row>
    <row r="661" spans="1:7" x14ac:dyDescent="0.2">
      <c r="A661" t="s">
        <v>842</v>
      </c>
      <c r="B661">
        <v>27.39</v>
      </c>
      <c r="C661" s="105">
        <v>1.1074197120708775E-2</v>
      </c>
      <c r="E661" s="149">
        <v>44641</v>
      </c>
      <c r="F661" s="150">
        <v>7558.9</v>
      </c>
      <c r="G661">
        <v>-8.1094912540842952E-3</v>
      </c>
    </row>
    <row r="662" spans="1:7" x14ac:dyDescent="0.2">
      <c r="A662" t="s">
        <v>843</v>
      </c>
      <c r="B662">
        <v>27.32</v>
      </c>
      <c r="C662" s="105">
        <v>-2.5556772544724454E-3</v>
      </c>
      <c r="E662" s="149">
        <v>44638</v>
      </c>
      <c r="F662" s="150">
        <v>7571.2</v>
      </c>
      <c r="G662">
        <v>1.6272208919287439E-3</v>
      </c>
    </row>
    <row r="663" spans="1:7" x14ac:dyDescent="0.2">
      <c r="A663" t="s">
        <v>844</v>
      </c>
      <c r="B663">
        <v>27.7</v>
      </c>
      <c r="C663" s="105">
        <v>1.3909224011712995E-2</v>
      </c>
      <c r="E663" s="149">
        <v>44637</v>
      </c>
      <c r="F663" s="150">
        <v>7521.6</v>
      </c>
      <c r="G663">
        <v>-6.5511411665257098E-3</v>
      </c>
    </row>
    <row r="664" spans="1:7" x14ac:dyDescent="0.2">
      <c r="A664" t="s">
        <v>845</v>
      </c>
      <c r="B664">
        <v>26.82</v>
      </c>
      <c r="C664" s="105">
        <v>-3.1768953068592024E-2</v>
      </c>
      <c r="E664" s="149">
        <v>44636</v>
      </c>
      <c r="F664" s="150">
        <v>7435.8</v>
      </c>
      <c r="G664">
        <v>-1.1407147415443547E-2</v>
      </c>
    </row>
    <row r="665" spans="1:7" x14ac:dyDescent="0.2">
      <c r="A665" t="s">
        <v>846</v>
      </c>
      <c r="B665">
        <v>26.39</v>
      </c>
      <c r="C665" s="105">
        <v>-1.6032811334824745E-2</v>
      </c>
      <c r="E665" s="149">
        <v>44635</v>
      </c>
      <c r="F665" s="150">
        <v>7356.1</v>
      </c>
      <c r="G665">
        <v>-1.0718416310282662E-2</v>
      </c>
    </row>
    <row r="666" spans="1:7" x14ac:dyDescent="0.2">
      <c r="A666" t="s">
        <v>847</v>
      </c>
      <c r="B666">
        <v>26.27</v>
      </c>
      <c r="C666" s="105">
        <v>-4.5471769609701021E-3</v>
      </c>
      <c r="E666" s="149">
        <v>44634</v>
      </c>
      <c r="F666" s="150">
        <v>7422.2</v>
      </c>
      <c r="G666">
        <v>8.9857397262135437E-3</v>
      </c>
    </row>
    <row r="667" spans="1:7" x14ac:dyDescent="0.2">
      <c r="A667" t="s">
        <v>848</v>
      </c>
      <c r="B667">
        <v>25.41</v>
      </c>
      <c r="C667" s="105">
        <v>-3.2736962314427083E-2</v>
      </c>
      <c r="E667" s="149">
        <v>44631</v>
      </c>
      <c r="F667" s="150">
        <v>7339.3</v>
      </c>
      <c r="G667">
        <v>-1.1169195117350601E-2</v>
      </c>
    </row>
    <row r="668" spans="1:7" x14ac:dyDescent="0.2">
      <c r="A668" t="s">
        <v>849</v>
      </c>
      <c r="B668">
        <v>26.13</v>
      </c>
      <c r="C668" s="105">
        <v>2.8335301062573745E-2</v>
      </c>
      <c r="E668" s="149">
        <v>44630</v>
      </c>
      <c r="F668" s="150">
        <v>7410.9</v>
      </c>
      <c r="G668">
        <v>9.755698772362412E-3</v>
      </c>
    </row>
    <row r="669" spans="1:7" x14ac:dyDescent="0.2">
      <c r="A669" t="s">
        <v>850</v>
      </c>
      <c r="B669">
        <v>25.39</v>
      </c>
      <c r="C669" s="105">
        <v>-2.8319938767699903E-2</v>
      </c>
      <c r="E669" s="149">
        <v>44629</v>
      </c>
      <c r="F669" s="150">
        <v>7331.8</v>
      </c>
      <c r="G669">
        <v>-1.0673467460092493E-2</v>
      </c>
    </row>
    <row r="670" spans="1:7" x14ac:dyDescent="0.2">
      <c r="A670" t="s">
        <v>851</v>
      </c>
      <c r="B670">
        <v>23.87</v>
      </c>
      <c r="C670" s="105">
        <v>-5.9866089011421798E-2</v>
      </c>
      <c r="E670" s="149">
        <v>44628</v>
      </c>
      <c r="F670" s="150">
        <v>7252.9</v>
      </c>
      <c r="G670">
        <v>-1.0761341007665313E-2</v>
      </c>
    </row>
    <row r="671" spans="1:7" x14ac:dyDescent="0.2">
      <c r="A671" t="s">
        <v>852</v>
      </c>
      <c r="B671">
        <v>24.67</v>
      </c>
      <c r="C671" s="105">
        <v>3.3514872224549672E-2</v>
      </c>
      <c r="E671" s="149">
        <v>44627</v>
      </c>
      <c r="F671" s="150">
        <v>7321.2</v>
      </c>
      <c r="G671">
        <v>9.4169228860180327E-3</v>
      </c>
    </row>
    <row r="672" spans="1:7" x14ac:dyDescent="0.2">
      <c r="A672" t="s">
        <v>853</v>
      </c>
      <c r="B672">
        <v>25.84</v>
      </c>
      <c r="C672" s="105">
        <v>4.7426023510336361E-2</v>
      </c>
      <c r="E672" s="149">
        <v>44624</v>
      </c>
      <c r="F672" s="150">
        <v>7395.3</v>
      </c>
      <c r="G672">
        <v>1.012129159154242E-2</v>
      </c>
    </row>
    <row r="673" spans="1:7" x14ac:dyDescent="0.2">
      <c r="A673" t="s">
        <v>854</v>
      </c>
      <c r="B673">
        <v>25.8</v>
      </c>
      <c r="C673" s="105">
        <v>-1.5479876160990381E-3</v>
      </c>
      <c r="E673" s="149">
        <v>44623</v>
      </c>
      <c r="F673" s="150">
        <v>7446.8</v>
      </c>
      <c r="G673">
        <v>6.9638824658904974E-3</v>
      </c>
    </row>
    <row r="674" spans="1:7" x14ac:dyDescent="0.2">
      <c r="A674" t="s">
        <v>855</v>
      </c>
      <c r="B674">
        <v>26.1</v>
      </c>
      <c r="C674" s="105">
        <v>1.1627906976744214E-2</v>
      </c>
      <c r="E674" s="149">
        <v>44622</v>
      </c>
      <c r="F674" s="150">
        <v>7406.3</v>
      </c>
      <c r="G674">
        <v>-5.4385776440887363E-3</v>
      </c>
    </row>
    <row r="675" spans="1:7" x14ac:dyDescent="0.2">
      <c r="A675" t="s">
        <v>856</v>
      </c>
      <c r="B675">
        <v>26.42</v>
      </c>
      <c r="C675" s="105">
        <v>1.2260536398467444E-2</v>
      </c>
      <c r="E675" s="149">
        <v>44621</v>
      </c>
      <c r="F675" s="150">
        <v>7385.3</v>
      </c>
      <c r="G675">
        <v>-2.8354238958724328E-3</v>
      </c>
    </row>
    <row r="676" spans="1:7" x14ac:dyDescent="0.2">
      <c r="A676" t="s">
        <v>857</v>
      </c>
      <c r="B676">
        <v>26.07</v>
      </c>
      <c r="C676" s="105">
        <v>-1.3247539742619281E-2</v>
      </c>
      <c r="E676" s="149">
        <v>44620</v>
      </c>
      <c r="F676" s="150">
        <v>7323.2</v>
      </c>
      <c r="G676">
        <v>-8.4085954531299151E-3</v>
      </c>
    </row>
    <row r="677" spans="1:7" x14ac:dyDescent="0.2">
      <c r="A677" t="s">
        <v>858</v>
      </c>
      <c r="B677">
        <v>26.54</v>
      </c>
      <c r="C677" s="105">
        <v>1.8028385116992666E-2</v>
      </c>
      <c r="E677" s="149">
        <v>44617</v>
      </c>
      <c r="F677" s="150">
        <v>7273.6</v>
      </c>
      <c r="G677">
        <v>-6.7729954118417434E-3</v>
      </c>
    </row>
    <row r="678" spans="1:7" x14ac:dyDescent="0.2">
      <c r="A678" t="s">
        <v>859</v>
      </c>
      <c r="B678">
        <v>26.32</v>
      </c>
      <c r="C678" s="105">
        <v>-8.289374529012768E-3</v>
      </c>
      <c r="E678" s="149">
        <v>44616</v>
      </c>
      <c r="F678" s="150">
        <v>7253.1</v>
      </c>
      <c r="G678">
        <v>-2.8184117905851297E-3</v>
      </c>
    </row>
    <row r="679" spans="1:7" x14ac:dyDescent="0.2">
      <c r="A679" t="s">
        <v>860</v>
      </c>
      <c r="B679">
        <v>27.74</v>
      </c>
      <c r="C679" s="105">
        <v>5.3951367781154946E-2</v>
      </c>
      <c r="E679" s="149">
        <v>44615</v>
      </c>
      <c r="F679" s="150">
        <v>7473.9</v>
      </c>
      <c r="G679">
        <v>3.0442155767878461E-2</v>
      </c>
    </row>
    <row r="680" spans="1:7" x14ac:dyDescent="0.2">
      <c r="A680" t="s">
        <v>861</v>
      </c>
      <c r="B680">
        <v>27.77</v>
      </c>
      <c r="C680" s="105">
        <v>1.0814708002884334E-3</v>
      </c>
      <c r="E680" s="149">
        <v>44614</v>
      </c>
      <c r="F680" s="150">
        <v>7422.2</v>
      </c>
      <c r="G680">
        <v>-6.9174059058857923E-3</v>
      </c>
    </row>
    <row r="681" spans="1:7" x14ac:dyDescent="0.2">
      <c r="A681" t="s">
        <v>862</v>
      </c>
      <c r="B681">
        <v>28.25</v>
      </c>
      <c r="C681" s="105">
        <v>1.7284839755131454E-2</v>
      </c>
      <c r="E681" s="149">
        <v>44613</v>
      </c>
      <c r="F681" s="150">
        <v>7507</v>
      </c>
      <c r="G681">
        <v>1.1425183907736275E-2</v>
      </c>
    </row>
    <row r="682" spans="1:7" x14ac:dyDescent="0.2">
      <c r="A682" t="s">
        <v>863</v>
      </c>
      <c r="B682">
        <v>28.96</v>
      </c>
      <c r="C682" s="105">
        <v>2.5132743362831889E-2</v>
      </c>
      <c r="E682" s="149">
        <v>44610</v>
      </c>
      <c r="F682" s="150">
        <v>7502.8</v>
      </c>
      <c r="G682">
        <v>-5.5947782070065518E-4</v>
      </c>
    </row>
    <row r="683" spans="1:7" x14ac:dyDescent="0.2">
      <c r="A683" t="s">
        <v>864</v>
      </c>
      <c r="B683">
        <v>29</v>
      </c>
      <c r="C683" s="105">
        <v>1.3812154696132301E-3</v>
      </c>
      <c r="E683" s="149">
        <v>44609</v>
      </c>
      <c r="F683" s="150">
        <v>7574.8</v>
      </c>
      <c r="G683">
        <v>9.5964173375273232E-3</v>
      </c>
    </row>
    <row r="684" spans="1:7" x14ac:dyDescent="0.2">
      <c r="A684" t="s">
        <v>865</v>
      </c>
      <c r="B684">
        <v>28.03</v>
      </c>
      <c r="C684" s="105">
        <v>-3.344827586206893E-2</v>
      </c>
      <c r="E684" s="149">
        <v>44608</v>
      </c>
      <c r="F684" s="150">
        <v>7573</v>
      </c>
      <c r="G684">
        <v>-2.3763003643662961E-4</v>
      </c>
    </row>
    <row r="685" spans="1:7" x14ac:dyDescent="0.2">
      <c r="A685" t="s">
        <v>866</v>
      </c>
      <c r="B685">
        <v>27.41</v>
      </c>
      <c r="C685" s="105">
        <v>-2.2119158044951872E-2</v>
      </c>
      <c r="E685" s="149">
        <v>44607</v>
      </c>
      <c r="F685" s="150">
        <v>7490.3</v>
      </c>
      <c r="G685">
        <v>-1.0920375016505984E-2</v>
      </c>
    </row>
    <row r="686" spans="1:7" x14ac:dyDescent="0.2">
      <c r="A686" t="s">
        <v>867</v>
      </c>
      <c r="B686">
        <v>26.82</v>
      </c>
      <c r="C686" s="105">
        <v>-2.1524990879241146E-2</v>
      </c>
      <c r="E686" s="149">
        <v>44606</v>
      </c>
      <c r="F686" s="150">
        <v>7535.1</v>
      </c>
      <c r="G686">
        <v>5.9810688490447884E-3</v>
      </c>
    </row>
    <row r="687" spans="1:7" x14ac:dyDescent="0.2">
      <c r="A687" t="s">
        <v>868</v>
      </c>
      <c r="B687">
        <v>27.26</v>
      </c>
      <c r="C687" s="105">
        <v>1.6405667412378869E-2</v>
      </c>
      <c r="E687" s="149">
        <v>44603</v>
      </c>
      <c r="F687" s="150">
        <v>7515.8</v>
      </c>
      <c r="G687">
        <v>-2.5613462329630902E-3</v>
      </c>
    </row>
    <row r="688" spans="1:7" x14ac:dyDescent="0.2">
      <c r="A688" t="s">
        <v>869</v>
      </c>
      <c r="B688">
        <v>28.75</v>
      </c>
      <c r="C688" s="105">
        <v>5.4658840792369712E-2</v>
      </c>
      <c r="E688" s="149">
        <v>44602</v>
      </c>
      <c r="F688" s="150">
        <v>7595.5</v>
      </c>
      <c r="G688">
        <v>1.0604326884696216E-2</v>
      </c>
    </row>
    <row r="689" spans="1:7" x14ac:dyDescent="0.2">
      <c r="A689" t="s">
        <v>870</v>
      </c>
      <c r="B689">
        <v>28.43</v>
      </c>
      <c r="C689" s="105">
        <v>-1.1130434782608705E-2</v>
      </c>
      <c r="E689" s="149">
        <v>44601</v>
      </c>
      <c r="F689" s="150">
        <v>7572.8</v>
      </c>
      <c r="G689">
        <v>-2.9886116779671936E-3</v>
      </c>
    </row>
    <row r="690" spans="1:7" x14ac:dyDescent="0.2">
      <c r="A690" t="s">
        <v>871</v>
      </c>
      <c r="B690">
        <v>28.05</v>
      </c>
      <c r="C690" s="105">
        <v>-1.3366162504396728E-2</v>
      </c>
      <c r="E690" s="149">
        <v>44600</v>
      </c>
      <c r="F690" s="150">
        <v>7489</v>
      </c>
      <c r="G690">
        <v>-1.1065920135220814E-2</v>
      </c>
    </row>
    <row r="691" spans="1:7" x14ac:dyDescent="0.2">
      <c r="A691" t="s">
        <v>872</v>
      </c>
      <c r="B691">
        <v>27.77</v>
      </c>
      <c r="C691" s="105">
        <v>-9.9821746880570817E-3</v>
      </c>
      <c r="E691" s="149">
        <v>44599</v>
      </c>
      <c r="F691" s="150">
        <v>7414.2</v>
      </c>
      <c r="G691">
        <v>-9.9879823741487756E-3</v>
      </c>
    </row>
    <row r="692" spans="1:7" x14ac:dyDescent="0.2">
      <c r="A692" t="s">
        <v>873</v>
      </c>
      <c r="B692">
        <v>27.8</v>
      </c>
      <c r="C692" s="105">
        <v>1.0803024846957558E-3</v>
      </c>
      <c r="E692" s="149">
        <v>44596</v>
      </c>
      <c r="F692" s="150">
        <v>7418.9</v>
      </c>
      <c r="G692">
        <v>6.3391869655523431E-4</v>
      </c>
    </row>
    <row r="693" spans="1:7" x14ac:dyDescent="0.2">
      <c r="A693" t="s">
        <v>874</v>
      </c>
      <c r="B693">
        <v>27.61</v>
      </c>
      <c r="C693" s="105">
        <v>-6.8345323741007651E-3</v>
      </c>
      <c r="E693" s="149">
        <v>44595</v>
      </c>
      <c r="F693" s="150">
        <v>7374.6</v>
      </c>
      <c r="G693">
        <v>-5.9712356279231797E-3</v>
      </c>
    </row>
    <row r="694" spans="1:7" x14ac:dyDescent="0.2">
      <c r="A694" t="s">
        <v>875</v>
      </c>
      <c r="B694">
        <v>27.91</v>
      </c>
      <c r="C694" s="105">
        <v>1.08656283955089E-2</v>
      </c>
      <c r="E694" s="149">
        <v>44594</v>
      </c>
      <c r="F694" s="150">
        <v>7399.6</v>
      </c>
      <c r="G694">
        <v>3.390014373660944E-3</v>
      </c>
    </row>
    <row r="695" spans="1:7" x14ac:dyDescent="0.2">
      <c r="A695" t="s">
        <v>876</v>
      </c>
      <c r="B695">
        <v>28.03</v>
      </c>
      <c r="C695" s="105">
        <v>4.2995342171265136E-3</v>
      </c>
      <c r="E695" s="149">
        <v>44593</v>
      </c>
      <c r="F695" s="150">
        <v>7312.8</v>
      </c>
      <c r="G695">
        <v>-1.1730363803448858E-2</v>
      </c>
    </row>
    <row r="696" spans="1:7" x14ac:dyDescent="0.2">
      <c r="A696" t="s">
        <v>877</v>
      </c>
      <c r="B696">
        <v>27.46</v>
      </c>
      <c r="C696" s="105">
        <v>-2.033535497681057E-2</v>
      </c>
      <c r="E696" s="149">
        <v>44592</v>
      </c>
      <c r="F696" s="150">
        <v>7268.3</v>
      </c>
      <c r="G696">
        <v>-6.0852204354009407E-3</v>
      </c>
    </row>
    <row r="697" spans="1:7" x14ac:dyDescent="0.2">
      <c r="A697" t="s">
        <v>878</v>
      </c>
      <c r="B697">
        <v>26.51</v>
      </c>
      <c r="C697" s="105">
        <v>-3.4595775673707183E-2</v>
      </c>
      <c r="E697" s="149">
        <v>44589</v>
      </c>
      <c r="F697" s="150">
        <v>7266.3</v>
      </c>
      <c r="G697">
        <v>-2.7516750822062931E-4</v>
      </c>
    </row>
    <row r="698" spans="1:7" x14ac:dyDescent="0.2">
      <c r="A698" t="s">
        <v>879</v>
      </c>
      <c r="B698">
        <v>24.82</v>
      </c>
      <c r="C698" s="105">
        <v>-6.3749528479818976E-2</v>
      </c>
      <c r="E698" s="149">
        <v>44588</v>
      </c>
      <c r="F698" s="150">
        <v>7114.5</v>
      </c>
      <c r="G698">
        <v>-2.0890962388010428E-2</v>
      </c>
    </row>
    <row r="699" spans="1:7" x14ac:dyDescent="0.2">
      <c r="A699" t="s">
        <v>880</v>
      </c>
      <c r="B699">
        <v>25.67</v>
      </c>
      <c r="C699" s="105">
        <v>3.4246575342465807E-2</v>
      </c>
      <c r="E699" s="149">
        <v>44586</v>
      </c>
      <c r="F699" s="150">
        <v>7248.1</v>
      </c>
      <c r="G699">
        <v>1.8778550846862092E-2</v>
      </c>
    </row>
    <row r="700" spans="1:7" x14ac:dyDescent="0.2">
      <c r="A700" t="s">
        <v>881</v>
      </c>
      <c r="B700">
        <v>26.32</v>
      </c>
      <c r="C700" s="105">
        <v>2.5321386832878792E-2</v>
      </c>
      <c r="E700" s="149">
        <v>44585</v>
      </c>
      <c r="F700" s="150">
        <v>7441.5</v>
      </c>
      <c r="G700">
        <v>2.6682854817124436E-2</v>
      </c>
    </row>
    <row r="701" spans="1:7" x14ac:dyDescent="0.2">
      <c r="A701" t="s">
        <v>882</v>
      </c>
      <c r="B701">
        <v>26</v>
      </c>
      <c r="C701" s="105">
        <v>-1.2158054711246211E-2</v>
      </c>
      <c r="E701" s="149">
        <v>44582</v>
      </c>
      <c r="F701" s="150">
        <v>7490.1</v>
      </c>
      <c r="G701">
        <v>6.5309413424713249E-3</v>
      </c>
    </row>
    <row r="702" spans="1:7" x14ac:dyDescent="0.2">
      <c r="A702" t="s">
        <v>883</v>
      </c>
      <c r="B702">
        <v>27</v>
      </c>
      <c r="C702" s="105">
        <v>3.8461538461538464E-2</v>
      </c>
      <c r="E702" s="149">
        <v>44581</v>
      </c>
      <c r="F702" s="150">
        <v>7668.9</v>
      </c>
      <c r="G702">
        <v>2.3871510393719611E-2</v>
      </c>
    </row>
    <row r="703" spans="1:7" x14ac:dyDescent="0.2">
      <c r="A703" t="s">
        <v>884</v>
      </c>
      <c r="B703">
        <v>27.2</v>
      </c>
      <c r="C703" s="105">
        <v>7.4074074074073808E-3</v>
      </c>
      <c r="E703" s="149">
        <v>44580</v>
      </c>
      <c r="F703" s="150">
        <v>7656.6</v>
      </c>
      <c r="G703">
        <v>-1.6038806086921557E-3</v>
      </c>
    </row>
    <row r="704" spans="1:7" x14ac:dyDescent="0.2">
      <c r="A704" t="s">
        <v>885</v>
      </c>
      <c r="B704">
        <v>27.71</v>
      </c>
      <c r="C704" s="105">
        <v>1.8750000000000058E-2</v>
      </c>
      <c r="E704" s="149">
        <v>44579</v>
      </c>
      <c r="F704" s="150">
        <v>7735.8</v>
      </c>
      <c r="G704">
        <v>1.0344016926573128E-2</v>
      </c>
    </row>
    <row r="705" spans="1:7" x14ac:dyDescent="0.2">
      <c r="A705" t="s">
        <v>886</v>
      </c>
      <c r="B705">
        <v>27.97</v>
      </c>
      <c r="C705" s="105">
        <v>9.3828942619992063E-3</v>
      </c>
      <c r="E705" s="149">
        <v>44578</v>
      </c>
      <c r="F705" s="150">
        <v>7739.3</v>
      </c>
      <c r="G705">
        <v>4.52441893533959E-4</v>
      </c>
    </row>
    <row r="706" spans="1:7" x14ac:dyDescent="0.2">
      <c r="A706" t="s">
        <v>887</v>
      </c>
      <c r="B706">
        <v>27.78</v>
      </c>
      <c r="C706" s="105">
        <v>-6.7929924919555859E-3</v>
      </c>
      <c r="E706" s="149">
        <v>44575</v>
      </c>
      <c r="F706" s="150">
        <v>7717.1</v>
      </c>
      <c r="G706">
        <v>-2.8684764772007568E-3</v>
      </c>
    </row>
    <row r="707" spans="1:7" x14ac:dyDescent="0.2">
      <c r="A707" t="s">
        <v>888</v>
      </c>
      <c r="B707">
        <v>28.19</v>
      </c>
      <c r="C707" s="105">
        <v>1.4758819294456448E-2</v>
      </c>
      <c r="E707" s="149">
        <v>44574</v>
      </c>
      <c r="F707" s="150">
        <v>7797.5</v>
      </c>
      <c r="G707">
        <v>1.0418421427738352E-2</v>
      </c>
    </row>
    <row r="708" spans="1:7" x14ac:dyDescent="0.2">
      <c r="A708" t="s">
        <v>889</v>
      </c>
      <c r="B708">
        <v>28.47</v>
      </c>
      <c r="C708" s="105">
        <v>9.9326002128413467E-3</v>
      </c>
      <c r="E708" s="149">
        <v>44573</v>
      </c>
      <c r="F708" s="150">
        <v>7762.2</v>
      </c>
      <c r="G708">
        <v>-4.5270920166720335E-3</v>
      </c>
    </row>
    <row r="709" spans="1:7" x14ac:dyDescent="0.2">
      <c r="A709" t="s">
        <v>890</v>
      </c>
      <c r="B709">
        <v>28.37</v>
      </c>
      <c r="C709" s="105">
        <v>-3.5124692658938489E-3</v>
      </c>
      <c r="E709" s="149">
        <v>44572</v>
      </c>
      <c r="F709" s="150">
        <v>7710.7</v>
      </c>
      <c r="G709">
        <v>-6.6347169616861202E-3</v>
      </c>
    </row>
    <row r="710" spans="1:7" x14ac:dyDescent="0.2">
      <c r="A710" t="s">
        <v>891</v>
      </c>
      <c r="B710">
        <v>29.27</v>
      </c>
      <c r="C710" s="105">
        <v>3.1723651744800796E-2</v>
      </c>
      <c r="E710" s="149">
        <v>44571</v>
      </c>
      <c r="F710" s="150">
        <v>7766.1</v>
      </c>
      <c r="G710">
        <v>7.1848210927672644E-3</v>
      </c>
    </row>
    <row r="711" spans="1:7" x14ac:dyDescent="0.2">
      <c r="A711" t="s">
        <v>892</v>
      </c>
      <c r="B711">
        <v>29.88</v>
      </c>
      <c r="C711" s="105">
        <v>2.0840450973693182E-2</v>
      </c>
      <c r="E711" s="149">
        <v>44568</v>
      </c>
      <c r="F711" s="150">
        <v>7774.4</v>
      </c>
      <c r="G711">
        <v>1.0687475051826879E-3</v>
      </c>
    </row>
    <row r="712" spans="1:7" x14ac:dyDescent="0.2">
      <c r="A712" t="s">
        <v>893</v>
      </c>
      <c r="B712">
        <v>29.54</v>
      </c>
      <c r="C712" s="105">
        <v>-1.1378848728246314E-2</v>
      </c>
      <c r="E712" s="149">
        <v>44567</v>
      </c>
      <c r="F712" s="150">
        <v>7679.3</v>
      </c>
      <c r="G712">
        <v>-1.2232455237703161E-2</v>
      </c>
    </row>
    <row r="713" spans="1:7" x14ac:dyDescent="0.2">
      <c r="A713" t="s">
        <v>894</v>
      </c>
      <c r="B713">
        <v>30.81</v>
      </c>
      <c r="C713" s="105">
        <v>4.2992552471225444E-2</v>
      </c>
      <c r="E713" s="149">
        <v>44566</v>
      </c>
      <c r="F713" s="150">
        <v>7899.6</v>
      </c>
      <c r="G713">
        <v>2.8687510580391463E-2</v>
      </c>
    </row>
    <row r="714" spans="1:7" x14ac:dyDescent="0.2">
      <c r="A714" t="s">
        <v>895</v>
      </c>
      <c r="B714">
        <v>31.2</v>
      </c>
      <c r="C714" s="105">
        <v>1.2658227848101285E-2</v>
      </c>
      <c r="E714" s="149">
        <v>44565</v>
      </c>
      <c r="F714" s="150">
        <v>7926.8</v>
      </c>
      <c r="G714">
        <v>3.4432123145475488E-3</v>
      </c>
    </row>
    <row r="715" spans="1:7" x14ac:dyDescent="0.2">
      <c r="A715" t="s">
        <v>896</v>
      </c>
      <c r="B715">
        <v>30.54</v>
      </c>
      <c r="C715" s="105">
        <v>-2.1153846153846158E-2</v>
      </c>
      <c r="E715" s="149">
        <v>44561</v>
      </c>
      <c r="F715" s="150">
        <v>7779.2</v>
      </c>
      <c r="G715">
        <v>-1.8620376444466916E-2</v>
      </c>
    </row>
    <row r="716" spans="1:7" x14ac:dyDescent="0.2">
      <c r="A716" t="s">
        <v>897</v>
      </c>
      <c r="B716">
        <v>30.85</v>
      </c>
      <c r="C716" s="105">
        <v>1.0150622134905118E-2</v>
      </c>
      <c r="E716" s="149">
        <v>44560</v>
      </c>
      <c r="F716" s="150">
        <v>7843.7</v>
      </c>
      <c r="G716">
        <v>8.2913410119292482E-3</v>
      </c>
    </row>
    <row r="717" spans="1:7" x14ac:dyDescent="0.2">
      <c r="A717" t="s">
        <v>898</v>
      </c>
      <c r="B717">
        <v>30.48</v>
      </c>
      <c r="C717" s="105">
        <v>-1.1993517017828232E-2</v>
      </c>
      <c r="E717" s="149">
        <v>44559</v>
      </c>
      <c r="F717" s="150">
        <v>7840.3</v>
      </c>
      <c r="G717">
        <v>-4.3346889860647862E-4</v>
      </c>
    </row>
    <row r="718" spans="1:7" x14ac:dyDescent="0.2">
      <c r="A718" t="s">
        <v>899</v>
      </c>
      <c r="B718">
        <v>29.75</v>
      </c>
      <c r="C718" s="105">
        <v>-2.3950131233595816E-2</v>
      </c>
      <c r="E718" s="149">
        <v>44554</v>
      </c>
      <c r="F718" s="150">
        <v>7744.7</v>
      </c>
      <c r="G718">
        <v>-1.2193410966417148E-2</v>
      </c>
    </row>
    <row r="719" spans="1:7" x14ac:dyDescent="0.2">
      <c r="A719" t="s">
        <v>900</v>
      </c>
      <c r="B719">
        <v>29.45</v>
      </c>
      <c r="C719" s="105">
        <v>-1.0084033613445401E-2</v>
      </c>
      <c r="E719" s="149">
        <v>44553</v>
      </c>
      <c r="F719" s="150">
        <v>7707.5</v>
      </c>
      <c r="G719">
        <v>-4.8032848270429867E-3</v>
      </c>
    </row>
    <row r="720" spans="1:7" x14ac:dyDescent="0.2">
      <c r="A720" t="s">
        <v>901</v>
      </c>
      <c r="B720">
        <v>29.55</v>
      </c>
      <c r="C720" s="105">
        <v>3.3955857385399467E-3</v>
      </c>
      <c r="E720" s="149">
        <v>44552</v>
      </c>
      <c r="F720" s="150">
        <v>7682.6</v>
      </c>
      <c r="G720">
        <v>-3.2306195264352432E-3</v>
      </c>
    </row>
    <row r="721" spans="1:7" x14ac:dyDescent="0.2">
      <c r="A721" t="s">
        <v>902</v>
      </c>
      <c r="B721">
        <v>28.79</v>
      </c>
      <c r="C721" s="105">
        <v>-2.5719120135363843E-2</v>
      </c>
      <c r="E721" s="149">
        <v>44551</v>
      </c>
      <c r="F721" s="150">
        <v>7666.7</v>
      </c>
      <c r="G721">
        <v>-2.0696118501549662E-3</v>
      </c>
    </row>
    <row r="722" spans="1:7" x14ac:dyDescent="0.2">
      <c r="A722" t="s">
        <v>903</v>
      </c>
      <c r="B722">
        <v>27.89</v>
      </c>
      <c r="C722" s="105">
        <v>-3.1260854463355282E-2</v>
      </c>
      <c r="E722" s="149">
        <v>44550</v>
      </c>
      <c r="F722" s="150">
        <v>7602.2</v>
      </c>
      <c r="G722">
        <v>-8.4130068999700002E-3</v>
      </c>
    </row>
    <row r="723" spans="1:7" x14ac:dyDescent="0.2">
      <c r="A723" t="s">
        <v>904</v>
      </c>
      <c r="B723">
        <v>28.13</v>
      </c>
      <c r="C723" s="105">
        <v>8.6052348512010903E-3</v>
      </c>
      <c r="E723" s="149">
        <v>44547</v>
      </c>
      <c r="F723" s="150">
        <v>7626.2</v>
      </c>
      <c r="G723">
        <v>3.1569808739575385E-3</v>
      </c>
    </row>
    <row r="724" spans="1:7" x14ac:dyDescent="0.2">
      <c r="A724" t="s">
        <v>905</v>
      </c>
      <c r="B724">
        <v>29.1</v>
      </c>
      <c r="C724" s="105">
        <v>3.4482758620689745E-2</v>
      </c>
      <c r="E724" s="149">
        <v>44546</v>
      </c>
      <c r="F724" s="150">
        <v>7618.5</v>
      </c>
      <c r="G724">
        <v>-1.009677165560806E-3</v>
      </c>
    </row>
    <row r="725" spans="1:7" x14ac:dyDescent="0.2">
      <c r="A725" t="s">
        <v>906</v>
      </c>
      <c r="B725">
        <v>28.84</v>
      </c>
      <c r="C725" s="105">
        <v>-8.934707903780122E-3</v>
      </c>
      <c r="E725" s="149">
        <v>44545</v>
      </c>
      <c r="F725" s="150">
        <v>7636.2</v>
      </c>
      <c r="G725">
        <v>2.3232919866115137E-3</v>
      </c>
    </row>
    <row r="726" spans="1:7" x14ac:dyDescent="0.2">
      <c r="A726" t="s">
        <v>907</v>
      </c>
      <c r="B726">
        <v>29.51</v>
      </c>
      <c r="C726" s="105">
        <v>2.3231622746185912E-2</v>
      </c>
      <c r="E726" s="149">
        <v>44544</v>
      </c>
      <c r="F726" s="150">
        <v>7698.3</v>
      </c>
      <c r="G726">
        <v>8.1323171210812145E-3</v>
      </c>
    </row>
    <row r="727" spans="1:7" x14ac:dyDescent="0.2">
      <c r="A727" t="s">
        <v>908</v>
      </c>
      <c r="B727">
        <v>28.77</v>
      </c>
      <c r="C727" s="105">
        <v>-2.5076245340562586E-2</v>
      </c>
      <c r="E727" s="149">
        <v>44543</v>
      </c>
      <c r="F727" s="150">
        <v>7697.5</v>
      </c>
      <c r="G727">
        <v>-1.0391904706236207E-4</v>
      </c>
    </row>
    <row r="728" spans="1:7" x14ac:dyDescent="0.2">
      <c r="A728" t="s">
        <v>909</v>
      </c>
      <c r="B728">
        <v>28.83</v>
      </c>
      <c r="C728" s="105">
        <v>2.085505735140727E-3</v>
      </c>
      <c r="E728" s="149">
        <v>44540</v>
      </c>
      <c r="F728" s="150">
        <v>7667.9</v>
      </c>
      <c r="G728">
        <v>-3.845404352062405E-3</v>
      </c>
    </row>
    <row r="729" spans="1:7" x14ac:dyDescent="0.2">
      <c r="A729" t="s">
        <v>910</v>
      </c>
      <c r="B729">
        <v>28.38</v>
      </c>
      <c r="C729" s="105">
        <v>-1.5608740894901121E-2</v>
      </c>
      <c r="E729" s="149">
        <v>44539</v>
      </c>
      <c r="F729" s="150">
        <v>7689.4</v>
      </c>
      <c r="G729">
        <v>2.8038967644335479E-3</v>
      </c>
    </row>
    <row r="730" spans="1:7" x14ac:dyDescent="0.2">
      <c r="A730" t="s">
        <v>911</v>
      </c>
      <c r="B730">
        <v>28.27</v>
      </c>
      <c r="C730" s="105">
        <v>-3.875968992248042E-3</v>
      </c>
      <c r="E730" s="149">
        <v>44538</v>
      </c>
      <c r="F730" s="150">
        <v>7707.2</v>
      </c>
      <c r="G730">
        <v>2.3148750227586267E-3</v>
      </c>
    </row>
    <row r="731" spans="1:7" x14ac:dyDescent="0.2">
      <c r="A731" t="s">
        <v>912</v>
      </c>
      <c r="B731">
        <v>27.94</v>
      </c>
      <c r="C731" s="105">
        <v>-1.1673151750972702E-2</v>
      </c>
      <c r="E731" s="149">
        <v>44537</v>
      </c>
      <c r="F731" s="150">
        <v>7605.2</v>
      </c>
      <c r="G731">
        <v>-1.3234378243720158E-2</v>
      </c>
    </row>
    <row r="732" spans="1:7" x14ac:dyDescent="0.2">
      <c r="A732" t="s">
        <v>913</v>
      </c>
      <c r="B732">
        <v>27.39</v>
      </c>
      <c r="C732" s="105">
        <v>-1.9685039370078764E-2</v>
      </c>
      <c r="E732" s="149">
        <v>44536</v>
      </c>
      <c r="F732" s="150">
        <v>7529</v>
      </c>
      <c r="G732">
        <v>-1.0019460369221035E-2</v>
      </c>
    </row>
    <row r="733" spans="1:7" x14ac:dyDescent="0.2">
      <c r="A733" t="s">
        <v>914</v>
      </c>
      <c r="B733">
        <v>27.77</v>
      </c>
      <c r="C733" s="105">
        <v>1.3873676524278898E-2</v>
      </c>
      <c r="E733" s="149">
        <v>44533</v>
      </c>
      <c r="F733" s="150">
        <v>7543.6</v>
      </c>
      <c r="G733">
        <v>1.9391685482800323E-3</v>
      </c>
    </row>
    <row r="734" spans="1:7" x14ac:dyDescent="0.2">
      <c r="A734" t="s">
        <v>915</v>
      </c>
      <c r="B734">
        <v>28.21</v>
      </c>
      <c r="C734" s="105">
        <v>1.5844436442203864E-2</v>
      </c>
      <c r="E734" s="149">
        <v>44532</v>
      </c>
      <c r="F734" s="150">
        <v>7536.1</v>
      </c>
      <c r="G734">
        <v>-9.9422026618590587E-4</v>
      </c>
    </row>
    <row r="735" spans="1:7" x14ac:dyDescent="0.2">
      <c r="A735" t="s">
        <v>916</v>
      </c>
      <c r="B735">
        <v>28.84</v>
      </c>
      <c r="C735" s="105">
        <v>2.233250620347391E-2</v>
      </c>
      <c r="E735" s="149">
        <v>44531</v>
      </c>
      <c r="F735" s="150">
        <v>7557.8</v>
      </c>
      <c r="G735">
        <v>2.8794734677087376E-3</v>
      </c>
    </row>
    <row r="736" spans="1:7" x14ac:dyDescent="0.2">
      <c r="A736" t="s">
        <v>917</v>
      </c>
      <c r="B736">
        <v>28.97</v>
      </c>
      <c r="C736" s="105">
        <v>4.5076282940360269E-3</v>
      </c>
      <c r="E736" s="149">
        <v>44530</v>
      </c>
      <c r="F736" s="150">
        <v>7587.4</v>
      </c>
      <c r="G736">
        <v>3.9164836328031243E-3</v>
      </c>
    </row>
    <row r="737" spans="1:7" x14ac:dyDescent="0.2">
      <c r="A737" t="s">
        <v>918</v>
      </c>
      <c r="B737">
        <v>28.19</v>
      </c>
      <c r="C737" s="105">
        <v>-2.692440455643761E-2</v>
      </c>
      <c r="E737" s="149">
        <v>44529</v>
      </c>
      <c r="F737" s="150">
        <v>7562.5</v>
      </c>
      <c r="G737">
        <v>-3.2817565964625085E-3</v>
      </c>
    </row>
    <row r="738" spans="1:7" x14ac:dyDescent="0.2">
      <c r="A738" t="s">
        <v>919</v>
      </c>
      <c r="B738">
        <v>27.83</v>
      </c>
      <c r="C738" s="105">
        <v>-1.2770485987939091E-2</v>
      </c>
      <c r="E738" s="149">
        <v>44526</v>
      </c>
      <c r="F738" s="150">
        <v>7599.9</v>
      </c>
      <c r="G738">
        <v>4.9454545454544977E-3</v>
      </c>
    </row>
    <row r="739" spans="1:7" x14ac:dyDescent="0.2">
      <c r="A739" t="s">
        <v>920</v>
      </c>
      <c r="B739">
        <v>28.15</v>
      </c>
      <c r="C739" s="105">
        <v>1.1498383039885027E-2</v>
      </c>
      <c r="E739" s="149">
        <v>44525</v>
      </c>
      <c r="F739" s="150">
        <v>7736.9</v>
      </c>
      <c r="G739">
        <v>1.8026552980960276E-2</v>
      </c>
    </row>
    <row r="740" spans="1:7" x14ac:dyDescent="0.2">
      <c r="A740" t="s">
        <v>921</v>
      </c>
      <c r="B740">
        <v>27.96</v>
      </c>
      <c r="C740" s="105">
        <v>-6.7495559502663491E-3</v>
      </c>
      <c r="E740" s="149">
        <v>44524</v>
      </c>
      <c r="F740" s="150">
        <v>7725.5</v>
      </c>
      <c r="G740">
        <v>-1.4734583618761566E-3</v>
      </c>
    </row>
    <row r="741" spans="1:7" x14ac:dyDescent="0.2">
      <c r="A741" t="s">
        <v>922</v>
      </c>
      <c r="B741">
        <v>28.8</v>
      </c>
      <c r="C741" s="105">
        <v>3.0042918454935615E-2</v>
      </c>
      <c r="E741" s="149">
        <v>44523</v>
      </c>
      <c r="F741" s="150">
        <v>7741.7</v>
      </c>
      <c r="G741">
        <v>2.0969516536146291E-3</v>
      </c>
    </row>
    <row r="742" spans="1:7" x14ac:dyDescent="0.2">
      <c r="A742" t="s">
        <v>923</v>
      </c>
      <c r="B742">
        <v>29.74</v>
      </c>
      <c r="C742" s="105">
        <v>3.2638888888888808E-2</v>
      </c>
      <c r="E742" s="149">
        <v>44522</v>
      </c>
      <c r="F742" s="150">
        <v>7688.3</v>
      </c>
      <c r="G742">
        <v>-6.8977098053398652E-3</v>
      </c>
    </row>
    <row r="743" spans="1:7" x14ac:dyDescent="0.2">
      <c r="A743" t="s">
        <v>924</v>
      </c>
      <c r="B743">
        <v>29.79</v>
      </c>
      <c r="C743" s="105">
        <v>1.6812373907195935E-3</v>
      </c>
      <c r="E743" s="149">
        <v>44519</v>
      </c>
      <c r="F743" s="150">
        <v>7729.9</v>
      </c>
      <c r="G743">
        <v>5.410819036718059E-3</v>
      </c>
    </row>
    <row r="744" spans="1:7" x14ac:dyDescent="0.2">
      <c r="A744" t="s">
        <v>925</v>
      </c>
      <c r="B744">
        <v>29.4</v>
      </c>
      <c r="C744" s="105">
        <v>-1.3091641490433051E-2</v>
      </c>
      <c r="E744" s="149">
        <v>44518</v>
      </c>
      <c r="F744" s="150">
        <v>7713.2</v>
      </c>
      <c r="G744">
        <v>-2.1604419203352979E-3</v>
      </c>
    </row>
    <row r="745" spans="1:7" x14ac:dyDescent="0.2">
      <c r="A745" t="s">
        <v>926</v>
      </c>
      <c r="B745">
        <v>29.17</v>
      </c>
      <c r="C745" s="105">
        <v>-7.8231292517005752E-3</v>
      </c>
      <c r="E745" s="149">
        <v>44517</v>
      </c>
      <c r="F745" s="150">
        <v>7704</v>
      </c>
      <c r="G745">
        <v>-1.1927604625835994E-3</v>
      </c>
    </row>
    <row r="746" spans="1:7" x14ac:dyDescent="0.2">
      <c r="A746" t="s">
        <v>927</v>
      </c>
      <c r="B746">
        <v>28.91</v>
      </c>
      <c r="C746" s="105">
        <v>-8.9132670551937444E-3</v>
      </c>
      <c r="E746" s="149">
        <v>44516</v>
      </c>
      <c r="F746" s="150">
        <v>7747.1</v>
      </c>
      <c r="G746">
        <v>5.5944963655244501E-3</v>
      </c>
    </row>
    <row r="747" spans="1:7" x14ac:dyDescent="0.2">
      <c r="A747" t="s">
        <v>928</v>
      </c>
      <c r="B747">
        <v>29.37</v>
      </c>
      <c r="C747" s="105">
        <v>1.5911449325492939E-2</v>
      </c>
      <c r="E747" s="149">
        <v>44515</v>
      </c>
      <c r="F747" s="150">
        <v>7798.2</v>
      </c>
      <c r="G747">
        <v>6.5960165739437273E-3</v>
      </c>
    </row>
    <row r="748" spans="1:7" x14ac:dyDescent="0.2">
      <c r="A748" t="s">
        <v>929</v>
      </c>
      <c r="B748">
        <v>28.84</v>
      </c>
      <c r="C748" s="105">
        <v>-1.8045624787197859E-2</v>
      </c>
      <c r="E748" s="149">
        <v>44512</v>
      </c>
      <c r="F748" s="150">
        <v>7765.8</v>
      </c>
      <c r="G748">
        <v>-4.1548049549895664E-3</v>
      </c>
    </row>
    <row r="749" spans="1:7" x14ac:dyDescent="0.2">
      <c r="A749" t="s">
        <v>930</v>
      </c>
      <c r="B749">
        <v>28.76</v>
      </c>
      <c r="C749" s="105">
        <v>-2.7739251040221325E-3</v>
      </c>
      <c r="E749" s="149">
        <v>44511</v>
      </c>
      <c r="F749" s="150">
        <v>7701.2</v>
      </c>
      <c r="G749">
        <v>-8.3185248139277818E-3</v>
      </c>
    </row>
    <row r="750" spans="1:7" x14ac:dyDescent="0.2">
      <c r="A750" t="s">
        <v>931</v>
      </c>
      <c r="B750">
        <v>28.52</v>
      </c>
      <c r="C750" s="105">
        <v>-8.3449235048679415E-3</v>
      </c>
      <c r="E750" s="149">
        <v>44510</v>
      </c>
      <c r="F750" s="150">
        <v>7737.4</v>
      </c>
      <c r="G750">
        <v>4.7005661455357369E-3</v>
      </c>
    </row>
    <row r="751" spans="1:7" x14ac:dyDescent="0.2">
      <c r="A751" t="s">
        <v>932</v>
      </c>
      <c r="B751">
        <v>28.6</v>
      </c>
      <c r="C751" s="105">
        <v>2.8050490883591113E-3</v>
      </c>
      <c r="E751" s="149">
        <v>44509</v>
      </c>
      <c r="F751" s="150">
        <v>7756.3</v>
      </c>
      <c r="G751">
        <v>2.4426810039548876E-3</v>
      </c>
    </row>
    <row r="752" spans="1:7" x14ac:dyDescent="0.2">
      <c r="A752" t="s">
        <v>933</v>
      </c>
      <c r="B752">
        <v>28.76</v>
      </c>
      <c r="C752" s="105">
        <v>5.5944055944055987E-3</v>
      </c>
      <c r="E752" s="149">
        <v>44508</v>
      </c>
      <c r="F752" s="150">
        <v>7767.9</v>
      </c>
      <c r="G752">
        <v>1.4955584492605306E-3</v>
      </c>
    </row>
    <row r="753" spans="1:7" x14ac:dyDescent="0.2">
      <c r="A753" t="s">
        <v>934</v>
      </c>
      <c r="B753">
        <v>29.33</v>
      </c>
      <c r="C753" s="105">
        <v>1.9819193324061082E-2</v>
      </c>
      <c r="E753" s="149">
        <v>44505</v>
      </c>
      <c r="F753" s="150">
        <v>7777.2</v>
      </c>
      <c r="G753">
        <v>1.1972347738771331E-3</v>
      </c>
    </row>
    <row r="754" spans="1:7" x14ac:dyDescent="0.2">
      <c r="A754" t="s">
        <v>935</v>
      </c>
      <c r="B754">
        <v>29</v>
      </c>
      <c r="C754" s="105">
        <v>-1.1251278554381123E-2</v>
      </c>
      <c r="E754" s="149">
        <v>44504</v>
      </c>
      <c r="F754" s="150">
        <v>7746.3</v>
      </c>
      <c r="G754">
        <v>-3.9731522913130221E-3</v>
      </c>
    </row>
    <row r="755" spans="1:7" x14ac:dyDescent="0.2">
      <c r="A755" t="s">
        <v>936</v>
      </c>
      <c r="B755">
        <v>28.57</v>
      </c>
      <c r="C755" s="105">
        <v>-1.4827586206896542E-2</v>
      </c>
      <c r="E755" s="149">
        <v>44503</v>
      </c>
      <c r="F755" s="150">
        <v>7713</v>
      </c>
      <c r="G755">
        <v>-4.2988265365400489E-3</v>
      </c>
    </row>
    <row r="756" spans="1:7" x14ac:dyDescent="0.2">
      <c r="A756" t="s">
        <v>937</v>
      </c>
      <c r="B756">
        <v>28.57</v>
      </c>
      <c r="C756" s="105">
        <v>0</v>
      </c>
      <c r="E756" s="149">
        <v>44502</v>
      </c>
      <c r="F756" s="150">
        <v>7646.6</v>
      </c>
      <c r="G756">
        <v>-8.6088422144431007E-3</v>
      </c>
    </row>
    <row r="757" spans="1:7" x14ac:dyDescent="0.2">
      <c r="A757" t="s">
        <v>938</v>
      </c>
      <c r="B757">
        <v>28.72</v>
      </c>
      <c r="C757" s="105">
        <v>5.2502625131256066E-3</v>
      </c>
      <c r="E757" s="149">
        <v>44501</v>
      </c>
      <c r="F757" s="150">
        <v>7692.2</v>
      </c>
      <c r="G757">
        <v>5.9634347291606009E-3</v>
      </c>
    </row>
    <row r="758" spans="1:7" x14ac:dyDescent="0.2">
      <c r="A758" t="s">
        <v>939</v>
      </c>
      <c r="B758">
        <v>28.24</v>
      </c>
      <c r="C758" s="105">
        <v>-1.6713091922005586E-2</v>
      </c>
      <c r="E758" s="149">
        <v>44498</v>
      </c>
      <c r="F758" s="150">
        <v>7639.1</v>
      </c>
      <c r="G758">
        <v>-6.9030966433529361E-3</v>
      </c>
    </row>
    <row r="759" spans="1:7" x14ac:dyDescent="0.2">
      <c r="A759" t="s">
        <v>940</v>
      </c>
      <c r="B759">
        <v>28.24</v>
      </c>
      <c r="C759" s="105">
        <v>0</v>
      </c>
      <c r="E759" s="149">
        <v>44497</v>
      </c>
      <c r="F759" s="150">
        <v>7739.7</v>
      </c>
      <c r="G759">
        <v>1.3169090599677901E-2</v>
      </c>
    </row>
    <row r="760" spans="1:7" x14ac:dyDescent="0.2">
      <c r="A760" t="s">
        <v>941</v>
      </c>
      <c r="B760">
        <v>28.46</v>
      </c>
      <c r="C760" s="105">
        <v>7.7903682719547606E-3</v>
      </c>
      <c r="E760" s="149">
        <v>44496</v>
      </c>
      <c r="F760" s="150">
        <v>7758</v>
      </c>
      <c r="G760">
        <v>2.3644327299507969E-3</v>
      </c>
    </row>
    <row r="761" spans="1:7" x14ac:dyDescent="0.2">
      <c r="A761" t="s">
        <v>942</v>
      </c>
      <c r="B761">
        <v>28.39</v>
      </c>
      <c r="C761" s="105">
        <v>-2.4595924104005721E-3</v>
      </c>
      <c r="E761" s="149">
        <v>44495</v>
      </c>
      <c r="F761" s="150">
        <v>7759.3</v>
      </c>
      <c r="G761">
        <v>1.6756896107246479E-4</v>
      </c>
    </row>
    <row r="762" spans="1:7" x14ac:dyDescent="0.2">
      <c r="A762" t="s">
        <v>943</v>
      </c>
      <c r="B762">
        <v>28.03</v>
      </c>
      <c r="C762" s="105">
        <v>-1.2680521310320516E-2</v>
      </c>
      <c r="E762" s="149">
        <v>44494</v>
      </c>
      <c r="F762" s="150">
        <v>7754.3</v>
      </c>
      <c r="G762">
        <v>-6.4438802469294904E-4</v>
      </c>
    </row>
    <row r="763" spans="1:7" x14ac:dyDescent="0.2">
      <c r="A763" t="s">
        <v>944</v>
      </c>
      <c r="B763">
        <v>28.36</v>
      </c>
      <c r="C763" s="105">
        <v>1.1773100249732368E-2</v>
      </c>
      <c r="E763" s="149">
        <v>44491</v>
      </c>
      <c r="F763" s="150">
        <v>7726.8</v>
      </c>
      <c r="G763">
        <v>-3.5464194060069896E-3</v>
      </c>
    </row>
    <row r="764" spans="1:7" x14ac:dyDescent="0.2">
      <c r="A764" t="s">
        <v>945</v>
      </c>
      <c r="B764">
        <v>28.39</v>
      </c>
      <c r="C764" s="105">
        <v>1.057827926657304E-3</v>
      </c>
      <c r="E764" s="149">
        <v>44490</v>
      </c>
      <c r="F764" s="150">
        <v>7728.5</v>
      </c>
      <c r="G764">
        <v>2.2001345964691956E-4</v>
      </c>
    </row>
    <row r="765" spans="1:7" x14ac:dyDescent="0.2">
      <c r="A765" t="s">
        <v>946</v>
      </c>
      <c r="B765">
        <v>28.14</v>
      </c>
      <c r="C765" s="105">
        <v>-8.8059175766114824E-3</v>
      </c>
      <c r="E765" s="149">
        <v>44489</v>
      </c>
      <c r="F765" s="150">
        <v>7727.2</v>
      </c>
      <c r="G765">
        <v>-1.6820857863753406E-4</v>
      </c>
    </row>
    <row r="766" spans="1:7" x14ac:dyDescent="0.2">
      <c r="A766" t="s">
        <v>947</v>
      </c>
      <c r="B766">
        <v>27.79</v>
      </c>
      <c r="C766" s="105">
        <v>-1.2437810945273683E-2</v>
      </c>
      <c r="E766" s="149">
        <v>44488</v>
      </c>
      <c r="F766" s="150">
        <v>7690.2</v>
      </c>
      <c r="G766">
        <v>-4.7882803602857437E-3</v>
      </c>
    </row>
    <row r="767" spans="1:7" x14ac:dyDescent="0.2">
      <c r="A767" t="s">
        <v>948</v>
      </c>
      <c r="B767">
        <v>27.28</v>
      </c>
      <c r="C767" s="105">
        <v>-1.8351925152932637E-2</v>
      </c>
      <c r="E767" s="149">
        <v>44487</v>
      </c>
      <c r="F767" s="150">
        <v>7689.7</v>
      </c>
      <c r="G767">
        <v>-6.5017814881277477E-5</v>
      </c>
    </row>
    <row r="768" spans="1:7" x14ac:dyDescent="0.2">
      <c r="A768" t="s">
        <v>949</v>
      </c>
      <c r="B768">
        <v>27.58</v>
      </c>
      <c r="C768" s="105">
        <v>1.0997067448680247E-2</v>
      </c>
      <c r="E768" s="149">
        <v>44484</v>
      </c>
      <c r="F768" s="150">
        <v>7674.2</v>
      </c>
      <c r="G768">
        <v>-2.0156833166443426E-3</v>
      </c>
    </row>
    <row r="769" spans="1:7" x14ac:dyDescent="0.2">
      <c r="A769" t="s">
        <v>950</v>
      </c>
      <c r="B769">
        <v>27.01</v>
      </c>
      <c r="C769" s="105">
        <v>-2.0667150108774356E-2</v>
      </c>
      <c r="E769" s="149">
        <v>44483</v>
      </c>
      <c r="F769" s="150">
        <v>7620.2</v>
      </c>
      <c r="G769">
        <v>-7.0365640718250766E-3</v>
      </c>
    </row>
    <row r="770" spans="1:7" x14ac:dyDescent="0.2">
      <c r="A770" t="s">
        <v>951</v>
      </c>
      <c r="B770">
        <v>26.47</v>
      </c>
      <c r="C770" s="105">
        <v>-1.9992595335061189E-2</v>
      </c>
      <c r="E770" s="149">
        <v>44482</v>
      </c>
      <c r="F770" s="150">
        <v>7571.9</v>
      </c>
      <c r="G770">
        <v>-6.3384163145324508E-3</v>
      </c>
    </row>
    <row r="771" spans="1:7" x14ac:dyDescent="0.2">
      <c r="A771" t="s">
        <v>952</v>
      </c>
      <c r="B771">
        <v>26</v>
      </c>
      <c r="C771" s="105">
        <v>-1.7755950132225119E-2</v>
      </c>
      <c r="E771" s="149">
        <v>44481</v>
      </c>
      <c r="F771" s="150">
        <v>7575.6</v>
      </c>
      <c r="G771">
        <v>4.8864881997922954E-4</v>
      </c>
    </row>
    <row r="772" spans="1:7" x14ac:dyDescent="0.2">
      <c r="A772" t="s">
        <v>953</v>
      </c>
      <c r="B772">
        <v>25.87</v>
      </c>
      <c r="C772" s="105">
        <v>-4.9999999999999619E-3</v>
      </c>
      <c r="E772" s="149">
        <v>44480</v>
      </c>
      <c r="F772" s="150">
        <v>7601.1</v>
      </c>
      <c r="G772">
        <v>3.3660700142562963E-3</v>
      </c>
    </row>
    <row r="773" spans="1:7" x14ac:dyDescent="0.2">
      <c r="A773" t="s">
        <v>954</v>
      </c>
      <c r="B773">
        <v>26.04</v>
      </c>
      <c r="C773" s="105">
        <v>6.5713181291070025E-3</v>
      </c>
      <c r="E773" s="149">
        <v>44477</v>
      </c>
      <c r="F773" s="150">
        <v>7617.3</v>
      </c>
      <c r="G773">
        <v>2.1312704740103165E-3</v>
      </c>
    </row>
    <row r="774" spans="1:7" x14ac:dyDescent="0.2">
      <c r="A774" t="s">
        <v>955</v>
      </c>
      <c r="B774">
        <v>25.87</v>
      </c>
      <c r="C774" s="105">
        <v>-6.5284178187403289E-3</v>
      </c>
      <c r="E774" s="149">
        <v>44476</v>
      </c>
      <c r="F774" s="150">
        <v>7551.2</v>
      </c>
      <c r="G774">
        <v>-8.677615428038854E-3</v>
      </c>
    </row>
    <row r="775" spans="1:7" x14ac:dyDescent="0.2">
      <c r="A775" t="s">
        <v>956</v>
      </c>
      <c r="B775">
        <v>25.83</v>
      </c>
      <c r="C775" s="105">
        <v>-1.5461925009664745E-3</v>
      </c>
      <c r="E775" s="149">
        <v>44475</v>
      </c>
      <c r="F775" s="150">
        <v>7496.2</v>
      </c>
      <c r="G775">
        <v>-7.2836105519652507E-3</v>
      </c>
    </row>
    <row r="776" spans="1:7" x14ac:dyDescent="0.2">
      <c r="A776" t="s">
        <v>957</v>
      </c>
      <c r="B776">
        <v>26.39</v>
      </c>
      <c r="C776" s="105">
        <v>2.1680216802168112E-2</v>
      </c>
      <c r="E776" s="149">
        <v>44474</v>
      </c>
      <c r="F776" s="150">
        <v>7536.5</v>
      </c>
      <c r="G776">
        <v>5.3760572023158646E-3</v>
      </c>
    </row>
    <row r="777" spans="1:7" x14ac:dyDescent="0.2">
      <c r="A777" t="s">
        <v>958</v>
      </c>
      <c r="B777">
        <v>27.42</v>
      </c>
      <c r="C777" s="105">
        <v>3.9029935581659764E-2</v>
      </c>
      <c r="E777" s="149">
        <v>44473</v>
      </c>
      <c r="F777" s="150">
        <v>7576.8</v>
      </c>
      <c r="G777">
        <v>5.347309759172054E-3</v>
      </c>
    </row>
    <row r="778" spans="1:7" x14ac:dyDescent="0.2">
      <c r="A778" t="s">
        <v>959</v>
      </c>
      <c r="B778">
        <v>26.9</v>
      </c>
      <c r="C778" s="105">
        <v>-1.8964259664478594E-2</v>
      </c>
      <c r="E778" s="149">
        <v>44470</v>
      </c>
      <c r="F778" s="150">
        <v>7486.6</v>
      </c>
      <c r="G778">
        <v>-1.190476190476188E-2</v>
      </c>
    </row>
    <row r="779" spans="1:7" x14ac:dyDescent="0.2">
      <c r="A779" t="s">
        <v>960</v>
      </c>
      <c r="B779">
        <v>28.03</v>
      </c>
      <c r="C779" s="105">
        <v>4.2007434944238017E-2</v>
      </c>
      <c r="E779" s="149">
        <v>44469</v>
      </c>
      <c r="F779" s="150">
        <v>7629.7</v>
      </c>
      <c r="G779">
        <v>1.9114150615766764E-2</v>
      </c>
    </row>
    <row r="780" spans="1:7" x14ac:dyDescent="0.2">
      <c r="A780" t="s">
        <v>961</v>
      </c>
      <c r="B780">
        <v>27.77</v>
      </c>
      <c r="C780" s="105">
        <v>-9.2757759543346963E-3</v>
      </c>
      <c r="E780" s="149">
        <v>44468</v>
      </c>
      <c r="F780" s="150">
        <v>7500.2</v>
      </c>
      <c r="G780">
        <v>-1.6973144422454355E-2</v>
      </c>
    </row>
    <row r="781" spans="1:7" x14ac:dyDescent="0.2">
      <c r="A781" t="s">
        <v>962</v>
      </c>
      <c r="B781">
        <v>27.69</v>
      </c>
      <c r="C781" s="105">
        <v>-2.8808066258551781E-3</v>
      </c>
      <c r="E781" s="149">
        <v>44467</v>
      </c>
      <c r="F781" s="150">
        <v>7581.1</v>
      </c>
      <c r="G781">
        <v>1.078637902989261E-2</v>
      </c>
    </row>
    <row r="782" spans="1:7" x14ac:dyDescent="0.2">
      <c r="A782" t="s">
        <v>963</v>
      </c>
      <c r="B782">
        <v>28.2</v>
      </c>
      <c r="C782" s="105">
        <v>1.8418201516792992E-2</v>
      </c>
      <c r="E782" s="149">
        <v>44466</v>
      </c>
      <c r="F782" s="150">
        <v>7690.7</v>
      </c>
      <c r="G782">
        <v>1.4457004920130252E-2</v>
      </c>
    </row>
    <row r="783" spans="1:7" x14ac:dyDescent="0.2">
      <c r="A783" t="s">
        <v>964</v>
      </c>
      <c r="B783">
        <v>28.09</v>
      </c>
      <c r="C783" s="105">
        <v>-3.9007092198581361E-3</v>
      </c>
      <c r="E783" s="149">
        <v>44463</v>
      </c>
      <c r="F783" s="150">
        <v>7649.3</v>
      </c>
      <c r="G783">
        <v>-5.3831250731402394E-3</v>
      </c>
    </row>
    <row r="784" spans="1:7" x14ac:dyDescent="0.2">
      <c r="A784" t="s">
        <v>965</v>
      </c>
      <c r="B784">
        <v>28.75</v>
      </c>
      <c r="C784" s="105">
        <v>2.3495906016375939E-2</v>
      </c>
      <c r="E784" s="149">
        <v>44462</v>
      </c>
      <c r="F784" s="150">
        <v>7681.3</v>
      </c>
      <c r="G784">
        <v>4.1833893297425909E-3</v>
      </c>
    </row>
    <row r="785" spans="1:7" x14ac:dyDescent="0.2">
      <c r="A785" t="s">
        <v>966</v>
      </c>
      <c r="B785">
        <v>28.56</v>
      </c>
      <c r="C785" s="105">
        <v>-6.6086956521739576E-3</v>
      </c>
      <c r="E785" s="149">
        <v>44461</v>
      </c>
      <c r="F785" s="150">
        <v>7593.8</v>
      </c>
      <c r="G785">
        <v>-1.1391300951661828E-2</v>
      </c>
    </row>
    <row r="786" spans="1:7" x14ac:dyDescent="0.2">
      <c r="A786" t="s">
        <v>967</v>
      </c>
      <c r="B786">
        <v>28.61</v>
      </c>
      <c r="C786" s="105">
        <v>1.7507002801120698E-3</v>
      </c>
      <c r="E786" s="149">
        <v>44460</v>
      </c>
      <c r="F786" s="150">
        <v>7563.1</v>
      </c>
      <c r="G786">
        <v>-4.0427717348362896E-3</v>
      </c>
    </row>
    <row r="787" spans="1:7" x14ac:dyDescent="0.2">
      <c r="A787" t="s">
        <v>968</v>
      </c>
      <c r="B787">
        <v>28.5</v>
      </c>
      <c r="C787" s="105">
        <v>-3.844809507165307E-3</v>
      </c>
      <c r="E787" s="149">
        <v>44459</v>
      </c>
      <c r="F787" s="150">
        <v>7537.9</v>
      </c>
      <c r="G787">
        <v>-3.331967050548152E-3</v>
      </c>
    </row>
    <row r="788" spans="1:7" x14ac:dyDescent="0.2">
      <c r="A788" t="s">
        <v>969</v>
      </c>
      <c r="B788">
        <v>28.68</v>
      </c>
      <c r="C788" s="105">
        <v>6.3157894736842008E-3</v>
      </c>
      <c r="E788" s="149">
        <v>44456</v>
      </c>
      <c r="F788" s="150">
        <v>7702.9</v>
      </c>
      <c r="G788">
        <v>2.1889385637909764E-2</v>
      </c>
    </row>
    <row r="789" spans="1:7" x14ac:dyDescent="0.2">
      <c r="A789" t="s">
        <v>970</v>
      </c>
      <c r="B789">
        <v>29.43</v>
      </c>
      <c r="C789" s="105">
        <v>2.615062761506276E-2</v>
      </c>
      <c r="E789" s="149">
        <v>44455</v>
      </c>
      <c r="F789" s="150">
        <v>7759.8</v>
      </c>
      <c r="G789">
        <v>7.3868283373795E-3</v>
      </c>
    </row>
    <row r="790" spans="1:7" x14ac:dyDescent="0.2">
      <c r="A790" t="s">
        <v>971</v>
      </c>
      <c r="B790">
        <v>29.19</v>
      </c>
      <c r="C790" s="105">
        <v>-8.1549439347603954E-3</v>
      </c>
      <c r="E790" s="149">
        <v>44454</v>
      </c>
      <c r="F790" s="150">
        <v>7723.2</v>
      </c>
      <c r="G790">
        <v>-4.7166164076394186E-3</v>
      </c>
    </row>
    <row r="791" spans="1:7" x14ac:dyDescent="0.2">
      <c r="A791" t="s">
        <v>972</v>
      </c>
      <c r="B791">
        <v>28.22</v>
      </c>
      <c r="C791" s="105">
        <v>-3.3230558410414605E-2</v>
      </c>
      <c r="E791" s="149">
        <v>44453</v>
      </c>
      <c r="F791" s="150">
        <v>7740.3</v>
      </c>
      <c r="G791">
        <v>2.2141081417029682E-3</v>
      </c>
    </row>
    <row r="792" spans="1:7" x14ac:dyDescent="0.2">
      <c r="A792" t="s">
        <v>973</v>
      </c>
      <c r="B792">
        <v>28.69</v>
      </c>
      <c r="C792" s="105">
        <v>1.6654854712969611E-2</v>
      </c>
      <c r="E792" s="149">
        <v>44452</v>
      </c>
      <c r="F792" s="150">
        <v>7726.1</v>
      </c>
      <c r="G792">
        <v>-1.8345542162448247E-3</v>
      </c>
    </row>
    <row r="793" spans="1:7" x14ac:dyDescent="0.2">
      <c r="A793" t="s">
        <v>974</v>
      </c>
      <c r="B793">
        <v>29.11</v>
      </c>
      <c r="C793" s="105">
        <v>1.4639247124433536E-2</v>
      </c>
      <c r="E793" s="149">
        <v>44449</v>
      </c>
      <c r="F793" s="150">
        <v>7706.2</v>
      </c>
      <c r="G793">
        <v>-2.5756850157259864E-3</v>
      </c>
    </row>
    <row r="794" spans="1:7" x14ac:dyDescent="0.2">
      <c r="A794" t="s">
        <v>975</v>
      </c>
      <c r="B794">
        <v>29.11</v>
      </c>
      <c r="C794" s="105">
        <v>0</v>
      </c>
      <c r="E794" s="149">
        <v>44448</v>
      </c>
      <c r="F794" s="150">
        <v>7658.9</v>
      </c>
      <c r="G794">
        <v>-6.1379149256443099E-3</v>
      </c>
    </row>
    <row r="795" spans="1:7" x14ac:dyDescent="0.2">
      <c r="A795" t="s">
        <v>976</v>
      </c>
      <c r="B795">
        <v>30.04</v>
      </c>
      <c r="C795" s="105">
        <v>3.1947784266575054E-2</v>
      </c>
      <c r="E795" s="149">
        <v>44447</v>
      </c>
      <c r="F795" s="150">
        <v>7807.5</v>
      </c>
      <c r="G795">
        <v>1.9402264032694037E-2</v>
      </c>
    </row>
    <row r="796" spans="1:7" x14ac:dyDescent="0.2">
      <c r="A796" t="s">
        <v>977</v>
      </c>
      <c r="B796">
        <v>30.77</v>
      </c>
      <c r="C796" s="105">
        <v>2.4300932090545953E-2</v>
      </c>
      <c r="E796" s="149">
        <v>44446</v>
      </c>
      <c r="F796" s="150">
        <v>7826.4</v>
      </c>
      <c r="G796">
        <v>2.4207492795388585E-3</v>
      </c>
    </row>
    <row r="797" spans="1:7" x14ac:dyDescent="0.2">
      <c r="A797" t="s">
        <v>978</v>
      </c>
      <c r="B797">
        <v>31.09</v>
      </c>
      <c r="C797" s="105">
        <v>1.0399740006499847E-2</v>
      </c>
      <c r="E797" s="149">
        <v>44445</v>
      </c>
      <c r="F797" s="150">
        <v>7823.8</v>
      </c>
      <c r="G797">
        <v>-3.322089338647979E-4</v>
      </c>
    </row>
    <row r="798" spans="1:7" x14ac:dyDescent="0.2">
      <c r="A798" t="s">
        <v>979</v>
      </c>
      <c r="B798">
        <v>31.26</v>
      </c>
      <c r="C798" s="105">
        <v>5.4679961402380739E-3</v>
      </c>
      <c r="E798" s="149">
        <v>44442</v>
      </c>
      <c r="F798" s="150">
        <v>7826.7</v>
      </c>
      <c r="G798">
        <v>3.7066387177581687E-4</v>
      </c>
    </row>
    <row r="799" spans="1:7" x14ac:dyDescent="0.2">
      <c r="A799" t="s">
        <v>980</v>
      </c>
      <c r="B799">
        <v>31.22</v>
      </c>
      <c r="C799" s="105">
        <v>-1.2795905310301566E-3</v>
      </c>
      <c r="E799" s="149">
        <v>44441</v>
      </c>
      <c r="F799" s="150">
        <v>7783.8</v>
      </c>
      <c r="G799">
        <v>-5.4812373030778795E-3</v>
      </c>
    </row>
    <row r="800" spans="1:7" x14ac:dyDescent="0.2">
      <c r="A800" t="s">
        <v>981</v>
      </c>
      <c r="B800">
        <v>31.34</v>
      </c>
      <c r="C800" s="105">
        <v>3.8436899423446827E-3</v>
      </c>
      <c r="E800" s="149">
        <v>44440</v>
      </c>
      <c r="F800" s="150">
        <v>7813</v>
      </c>
      <c r="G800">
        <v>3.7513810735116289E-3</v>
      </c>
    </row>
    <row r="801" spans="1:7" x14ac:dyDescent="0.2">
      <c r="A801" t="s">
        <v>982</v>
      </c>
      <c r="B801">
        <v>30.92</v>
      </c>
      <c r="C801" s="105">
        <v>-1.340140395660492E-2</v>
      </c>
      <c r="E801" s="149">
        <v>44439</v>
      </c>
      <c r="F801" s="150">
        <v>7823.3</v>
      </c>
      <c r="G801">
        <v>1.318315627799844E-3</v>
      </c>
    </row>
    <row r="802" spans="1:7" x14ac:dyDescent="0.2">
      <c r="A802" t="s">
        <v>983</v>
      </c>
      <c r="B802">
        <v>30.55</v>
      </c>
      <c r="C802" s="105">
        <v>-1.1966364812419177E-2</v>
      </c>
      <c r="E802" s="149">
        <v>44438</v>
      </c>
      <c r="F802" s="150">
        <v>7788.6</v>
      </c>
      <c r="G802">
        <v>-4.4354684084721048E-3</v>
      </c>
    </row>
    <row r="803" spans="1:7" x14ac:dyDescent="0.2">
      <c r="A803" t="s">
        <v>984</v>
      </c>
      <c r="B803">
        <v>31.08</v>
      </c>
      <c r="C803" s="105">
        <v>1.7348608837970462E-2</v>
      </c>
      <c r="E803" s="149">
        <v>44435</v>
      </c>
      <c r="F803" s="150">
        <v>7760.1</v>
      </c>
      <c r="G803">
        <v>-3.6591942069178029E-3</v>
      </c>
    </row>
    <row r="804" spans="1:7" x14ac:dyDescent="0.2">
      <c r="A804" t="s">
        <v>985</v>
      </c>
      <c r="B804">
        <v>31.03</v>
      </c>
      <c r="C804" s="105">
        <v>-1.6087516087515174E-3</v>
      </c>
      <c r="E804" s="149">
        <v>44434</v>
      </c>
      <c r="F804" s="150">
        <v>7770.4</v>
      </c>
      <c r="G804">
        <v>1.3273024832153287E-3</v>
      </c>
    </row>
    <row r="805" spans="1:7" x14ac:dyDescent="0.2">
      <c r="A805" t="s">
        <v>986</v>
      </c>
      <c r="B805">
        <v>31.05</v>
      </c>
      <c r="C805" s="105">
        <v>6.4453754431194245E-4</v>
      </c>
      <c r="E805" s="149">
        <v>44433</v>
      </c>
      <c r="F805" s="150">
        <v>7809.6</v>
      </c>
      <c r="G805">
        <v>5.0447853392361691E-3</v>
      </c>
    </row>
    <row r="806" spans="1:7" x14ac:dyDescent="0.2">
      <c r="A806" t="s">
        <v>987</v>
      </c>
      <c r="B806">
        <v>30.93</v>
      </c>
      <c r="C806" s="105">
        <v>-3.8647342995169402E-3</v>
      </c>
      <c r="E806" s="149">
        <v>44432</v>
      </c>
      <c r="F806" s="150">
        <v>7773.7</v>
      </c>
      <c r="G806">
        <v>-4.5969063716452246E-3</v>
      </c>
    </row>
    <row r="807" spans="1:7" x14ac:dyDescent="0.2">
      <c r="A807" t="s">
        <v>988</v>
      </c>
      <c r="B807">
        <v>30.95</v>
      </c>
      <c r="C807" s="105">
        <v>6.4662140316843115E-4</v>
      </c>
      <c r="E807" s="149">
        <v>44431</v>
      </c>
      <c r="F807" s="150">
        <v>7761.1</v>
      </c>
      <c r="G807">
        <v>-1.6208497883889853E-3</v>
      </c>
    </row>
    <row r="808" spans="1:7" x14ac:dyDescent="0.2">
      <c r="A808" t="s">
        <v>989</v>
      </c>
      <c r="B808">
        <v>31.34</v>
      </c>
      <c r="C808" s="105">
        <v>1.2600969305331198E-2</v>
      </c>
      <c r="E808" s="149">
        <v>44428</v>
      </c>
      <c r="F808" s="150">
        <v>7725.1</v>
      </c>
      <c r="G808">
        <v>-4.6385177358879539E-3</v>
      </c>
    </row>
    <row r="809" spans="1:7" x14ac:dyDescent="0.2">
      <c r="A809" t="s">
        <v>990</v>
      </c>
      <c r="B809">
        <v>31</v>
      </c>
      <c r="C809" s="105">
        <v>-1.0848755583918311E-2</v>
      </c>
      <c r="E809" s="149">
        <v>44427</v>
      </c>
      <c r="F809" s="150">
        <v>7735.3</v>
      </c>
      <c r="G809">
        <v>1.3203712573299786E-3</v>
      </c>
    </row>
    <row r="810" spans="1:7" x14ac:dyDescent="0.2">
      <c r="A810" t="s">
        <v>991</v>
      </c>
      <c r="B810">
        <v>29.57</v>
      </c>
      <c r="C810" s="105">
        <v>-4.6129032258064508E-2</v>
      </c>
      <c r="E810" s="149">
        <v>44426</v>
      </c>
      <c r="F810" s="150">
        <v>7770.7</v>
      </c>
      <c r="G810">
        <v>4.5764223753441543E-3</v>
      </c>
    </row>
    <row r="811" spans="1:7" x14ac:dyDescent="0.2">
      <c r="A811" t="s">
        <v>992</v>
      </c>
      <c r="B811">
        <v>29.12</v>
      </c>
      <c r="C811" s="105">
        <v>-1.521812647954005E-2</v>
      </c>
      <c r="E811" s="149">
        <v>44425</v>
      </c>
      <c r="F811" s="150">
        <v>7773.3</v>
      </c>
      <c r="G811">
        <v>3.3459019135989858E-4</v>
      </c>
    </row>
    <row r="812" spans="1:7" x14ac:dyDescent="0.2">
      <c r="A812" t="s">
        <v>993</v>
      </c>
      <c r="B812">
        <v>31.98</v>
      </c>
      <c r="C812" s="105">
        <v>9.8214285714285685E-2</v>
      </c>
      <c r="E812" s="149">
        <v>44424</v>
      </c>
      <c r="F812" s="150">
        <v>7849.6</v>
      </c>
      <c r="G812">
        <v>9.8156510105103598E-3</v>
      </c>
    </row>
    <row r="813" spans="1:7" x14ac:dyDescent="0.2">
      <c r="A813" t="s">
        <v>994</v>
      </c>
      <c r="B813">
        <v>31.78</v>
      </c>
      <c r="C813" s="105">
        <v>-6.2539086929330606E-3</v>
      </c>
      <c r="E813" s="149">
        <v>44421</v>
      </c>
      <c r="F813" s="150">
        <v>7897.7</v>
      </c>
      <c r="G813">
        <v>6.1277007745616915E-3</v>
      </c>
    </row>
    <row r="814" spans="1:7" x14ac:dyDescent="0.2">
      <c r="A814" t="s">
        <v>995</v>
      </c>
      <c r="B814">
        <v>31.44</v>
      </c>
      <c r="C814" s="105">
        <v>-1.0698552548772809E-2</v>
      </c>
      <c r="E814" s="149">
        <v>44420</v>
      </c>
      <c r="F814" s="150">
        <v>7860.5</v>
      </c>
      <c r="G814">
        <v>-4.7102320928877799E-3</v>
      </c>
    </row>
    <row r="815" spans="1:7" x14ac:dyDescent="0.2">
      <c r="A815" t="s">
        <v>996</v>
      </c>
      <c r="B815">
        <v>31.46</v>
      </c>
      <c r="C815" s="105">
        <v>6.3613231552161489E-4</v>
      </c>
      <c r="E815" s="149">
        <v>44419</v>
      </c>
      <c r="F815" s="150">
        <v>7854.6</v>
      </c>
      <c r="G815">
        <v>-7.505883849627423E-4</v>
      </c>
    </row>
    <row r="816" spans="1:7" x14ac:dyDescent="0.2">
      <c r="A816" t="s">
        <v>997</v>
      </c>
      <c r="B816">
        <v>31.5</v>
      </c>
      <c r="C816" s="105">
        <v>1.2714558169103353E-3</v>
      </c>
      <c r="E816" s="149">
        <v>44418</v>
      </c>
      <c r="F816" s="150">
        <v>7830.4</v>
      </c>
      <c r="G816">
        <v>-3.080997122705259E-3</v>
      </c>
    </row>
    <row r="817" spans="1:7" x14ac:dyDescent="0.2">
      <c r="A817" t="s">
        <v>998</v>
      </c>
      <c r="B817">
        <v>31.29</v>
      </c>
      <c r="C817" s="105">
        <v>-6.666666666666694E-3</v>
      </c>
      <c r="E817" s="149">
        <v>44417</v>
      </c>
      <c r="F817" s="150">
        <v>7804.3</v>
      </c>
      <c r="G817">
        <v>-3.3331630568041804E-3</v>
      </c>
    </row>
    <row r="818" spans="1:7" x14ac:dyDescent="0.2">
      <c r="A818" t="s">
        <v>999</v>
      </c>
      <c r="B818">
        <v>31.32</v>
      </c>
      <c r="C818" s="105">
        <v>9.5877277085334414E-4</v>
      </c>
      <c r="E818" s="149">
        <v>44414</v>
      </c>
      <c r="F818" s="150">
        <v>7806.5</v>
      </c>
      <c r="G818">
        <v>2.8189587791343465E-4</v>
      </c>
    </row>
    <row r="819" spans="1:7" x14ac:dyDescent="0.2">
      <c r="A819" t="s">
        <v>1000</v>
      </c>
      <c r="B819">
        <v>31.59</v>
      </c>
      <c r="C819" s="105">
        <v>8.6206896551723998E-3</v>
      </c>
      <c r="E819" s="149">
        <v>44413</v>
      </c>
      <c r="F819" s="150">
        <v>7779.6</v>
      </c>
      <c r="G819">
        <v>-3.4458464100428662E-3</v>
      </c>
    </row>
    <row r="820" spans="1:7" x14ac:dyDescent="0.2">
      <c r="A820" t="s">
        <v>1001</v>
      </c>
      <c r="B820">
        <v>31.39</v>
      </c>
      <c r="C820" s="105">
        <v>-6.3311174422285305E-3</v>
      </c>
      <c r="E820" s="149">
        <v>44412</v>
      </c>
      <c r="F820" s="150">
        <v>7778.7</v>
      </c>
      <c r="G820">
        <v>-1.1568718186032002E-4</v>
      </c>
    </row>
    <row r="821" spans="1:7" x14ac:dyDescent="0.2">
      <c r="A821" t="s">
        <v>1002</v>
      </c>
      <c r="B821">
        <v>31.41</v>
      </c>
      <c r="C821" s="105">
        <v>6.3714558776679117E-4</v>
      </c>
      <c r="E821" s="149">
        <v>44411</v>
      </c>
      <c r="F821" s="150">
        <v>7750.5</v>
      </c>
      <c r="G821">
        <v>-3.6252844305603533E-3</v>
      </c>
    </row>
    <row r="822" spans="1:7" x14ac:dyDescent="0.2">
      <c r="A822" t="s">
        <v>1003</v>
      </c>
      <c r="B822">
        <v>31.83</v>
      </c>
      <c r="C822" s="105">
        <v>1.3371537726838528E-2</v>
      </c>
      <c r="E822" s="149">
        <v>44410</v>
      </c>
      <c r="F822" s="150">
        <v>7760.5</v>
      </c>
      <c r="G822">
        <v>1.2902393393974582E-3</v>
      </c>
    </row>
    <row r="823" spans="1:7" x14ac:dyDescent="0.2">
      <c r="A823" t="s">
        <v>1004</v>
      </c>
      <c r="B823">
        <v>30.93</v>
      </c>
      <c r="C823" s="105">
        <v>-2.8275212064090439E-2</v>
      </c>
      <c r="E823" s="149">
        <v>44407</v>
      </c>
      <c r="F823" s="150">
        <v>7664.2</v>
      </c>
      <c r="G823">
        <v>-1.240899426583341E-2</v>
      </c>
    </row>
    <row r="824" spans="1:7" x14ac:dyDescent="0.2">
      <c r="A824" t="s">
        <v>1005</v>
      </c>
      <c r="B824">
        <v>31.05</v>
      </c>
      <c r="C824" s="105">
        <v>3.8797284190107014E-3</v>
      </c>
      <c r="E824" s="149">
        <v>44406</v>
      </c>
      <c r="F824" s="150">
        <v>7695.2</v>
      </c>
      <c r="G824">
        <v>4.0447796247488326E-3</v>
      </c>
    </row>
    <row r="825" spans="1:7" x14ac:dyDescent="0.2">
      <c r="A825" t="s">
        <v>1006</v>
      </c>
      <c r="B825">
        <v>30.57</v>
      </c>
      <c r="C825" s="105">
        <v>-1.5458937198067646E-2</v>
      </c>
      <c r="E825" s="149">
        <v>44405</v>
      </c>
      <c r="F825" s="150">
        <v>7649.6</v>
      </c>
      <c r="G825">
        <v>-5.9257719097618585E-3</v>
      </c>
    </row>
    <row r="826" spans="1:7" x14ac:dyDescent="0.2">
      <c r="A826" t="s">
        <v>1007</v>
      </c>
      <c r="B826">
        <v>30.88</v>
      </c>
      <c r="C826" s="105">
        <v>1.0140660778541012E-2</v>
      </c>
      <c r="E826" s="149">
        <v>44404</v>
      </c>
      <c r="F826" s="150">
        <v>7704</v>
      </c>
      <c r="G826">
        <v>7.1114829533569903E-3</v>
      </c>
    </row>
    <row r="827" spans="1:7" x14ac:dyDescent="0.2">
      <c r="A827" t="s">
        <v>1008</v>
      </c>
      <c r="B827">
        <v>31.31</v>
      </c>
      <c r="C827" s="105">
        <v>1.3924870466321234E-2</v>
      </c>
      <c r="E827" s="149">
        <v>44403</v>
      </c>
      <c r="F827" s="150">
        <v>7670.5</v>
      </c>
      <c r="G827">
        <v>-4.3483904465212875E-3</v>
      </c>
    </row>
    <row r="828" spans="1:7" x14ac:dyDescent="0.2">
      <c r="A828" t="s">
        <v>1009</v>
      </c>
      <c r="B828">
        <v>30.93</v>
      </c>
      <c r="C828" s="105">
        <v>-1.2136697540721783E-2</v>
      </c>
      <c r="E828" s="149">
        <v>44400</v>
      </c>
      <c r="F828" s="150">
        <v>7670.9</v>
      </c>
      <c r="G828">
        <v>5.2147839123868874E-5</v>
      </c>
    </row>
    <row r="829" spans="1:7" x14ac:dyDescent="0.2">
      <c r="A829" t="s">
        <v>1010</v>
      </c>
      <c r="B829">
        <v>30.25</v>
      </c>
      <c r="C829" s="105">
        <v>-2.1985127707727117E-2</v>
      </c>
      <c r="E829" s="149">
        <v>44399</v>
      </c>
      <c r="F829" s="150">
        <v>7658.9</v>
      </c>
      <c r="G829">
        <v>-1.5643535960578291E-3</v>
      </c>
    </row>
    <row r="830" spans="1:7" x14ac:dyDescent="0.2">
      <c r="A830" t="s">
        <v>1011</v>
      </c>
      <c r="B830">
        <v>29.95</v>
      </c>
      <c r="C830" s="105">
        <v>-9.9173553719008496E-3</v>
      </c>
      <c r="E830" s="149">
        <v>44398</v>
      </c>
      <c r="F830" s="150">
        <v>7580.9</v>
      </c>
      <c r="G830">
        <v>-1.0184230111373696E-2</v>
      </c>
    </row>
    <row r="831" spans="1:7" x14ac:dyDescent="0.2">
      <c r="A831" t="s">
        <v>1012</v>
      </c>
      <c r="B831">
        <v>29.65</v>
      </c>
      <c r="C831" s="105">
        <v>-1.0016694490818054E-2</v>
      </c>
      <c r="E831" s="149">
        <v>44397</v>
      </c>
      <c r="F831" s="150">
        <v>7525.8</v>
      </c>
      <c r="G831">
        <v>-7.2682663008349219E-3</v>
      </c>
    </row>
    <row r="832" spans="1:7" x14ac:dyDescent="0.2">
      <c r="A832" t="s">
        <v>1013</v>
      </c>
      <c r="B832">
        <v>29.41</v>
      </c>
      <c r="C832" s="105">
        <v>-8.094435075885276E-3</v>
      </c>
      <c r="E832" s="149">
        <v>44396</v>
      </c>
      <c r="F832" s="150">
        <v>7559.7</v>
      </c>
      <c r="G832">
        <v>4.5045045045044559E-3</v>
      </c>
    </row>
    <row r="833" spans="1:7" x14ac:dyDescent="0.2">
      <c r="A833" t="s">
        <v>1014</v>
      </c>
      <c r="B833">
        <v>29.4</v>
      </c>
      <c r="C833" s="105">
        <v>-3.4002040122412658E-4</v>
      </c>
      <c r="E833" s="149">
        <v>44393</v>
      </c>
      <c r="F833" s="150">
        <v>7630.7</v>
      </c>
      <c r="G833">
        <v>9.391907086260037E-3</v>
      </c>
    </row>
    <row r="834" spans="1:7" x14ac:dyDescent="0.2">
      <c r="A834" t="s">
        <v>1015</v>
      </c>
      <c r="B834">
        <v>28.86</v>
      </c>
      <c r="C834" s="105">
        <v>-1.8367346938775481E-2</v>
      </c>
      <c r="E834" s="149">
        <v>44392</v>
      </c>
      <c r="F834" s="150">
        <v>7616.6</v>
      </c>
      <c r="G834">
        <v>-1.8477990223700913E-3</v>
      </c>
    </row>
    <row r="835" spans="1:7" x14ac:dyDescent="0.2">
      <c r="A835" t="s">
        <v>1016</v>
      </c>
      <c r="B835">
        <v>28.79</v>
      </c>
      <c r="C835" s="105">
        <v>-2.4255024255024353E-3</v>
      </c>
      <c r="E835" s="149">
        <v>44391</v>
      </c>
      <c r="F835" s="150">
        <v>7631.8</v>
      </c>
      <c r="G835">
        <v>1.9956410997032559E-3</v>
      </c>
    </row>
    <row r="836" spans="1:7" x14ac:dyDescent="0.2">
      <c r="A836" t="s">
        <v>1017</v>
      </c>
      <c r="B836">
        <v>28.33</v>
      </c>
      <c r="C836" s="105">
        <v>-1.597777005904831E-2</v>
      </c>
      <c r="E836" s="149">
        <v>44390</v>
      </c>
      <c r="F836" s="150">
        <v>7612.2</v>
      </c>
      <c r="G836">
        <v>-2.5682014727849739E-3</v>
      </c>
    </row>
    <row r="837" spans="1:7" x14ac:dyDescent="0.2">
      <c r="A837" t="s">
        <v>1018</v>
      </c>
      <c r="B837">
        <v>28.37</v>
      </c>
      <c r="C837" s="105">
        <v>1.4119308153901413E-3</v>
      </c>
      <c r="E837" s="149">
        <v>44389</v>
      </c>
      <c r="F837" s="150">
        <v>7604.9</v>
      </c>
      <c r="G837">
        <v>-9.5898688946693229E-4</v>
      </c>
    </row>
    <row r="838" spans="1:7" x14ac:dyDescent="0.2">
      <c r="A838" t="s">
        <v>1019</v>
      </c>
      <c r="B838">
        <v>28.29</v>
      </c>
      <c r="C838" s="105">
        <v>-2.8198801550934735E-3</v>
      </c>
      <c r="E838" s="149">
        <v>44386</v>
      </c>
      <c r="F838" s="150">
        <v>7545.3</v>
      </c>
      <c r="G838">
        <v>-7.8370524267248037E-3</v>
      </c>
    </row>
    <row r="839" spans="1:7" x14ac:dyDescent="0.2">
      <c r="A839" t="s">
        <v>1020</v>
      </c>
      <c r="B839">
        <v>28.86</v>
      </c>
      <c r="C839" s="105">
        <v>2.0148462354188771E-2</v>
      </c>
      <c r="E839" s="149">
        <v>44385</v>
      </c>
      <c r="F839" s="150">
        <v>7614.9</v>
      </c>
      <c r="G839">
        <v>9.2242853166871371E-3</v>
      </c>
    </row>
    <row r="840" spans="1:7" x14ac:dyDescent="0.2">
      <c r="A840" t="s">
        <v>1021</v>
      </c>
      <c r="B840">
        <v>28.65</v>
      </c>
      <c r="C840" s="105">
        <v>-7.2765072765073064E-3</v>
      </c>
      <c r="E840" s="149">
        <v>44384</v>
      </c>
      <c r="F840" s="150">
        <v>7599.3</v>
      </c>
      <c r="G840">
        <v>-2.0486152149075437E-3</v>
      </c>
    </row>
    <row r="841" spans="1:7" x14ac:dyDescent="0.2">
      <c r="A841" t="s">
        <v>1022</v>
      </c>
      <c r="B841">
        <v>28.17</v>
      </c>
      <c r="C841" s="105">
        <v>-1.6753926701570571E-2</v>
      </c>
      <c r="E841" s="149">
        <v>44383</v>
      </c>
      <c r="F841" s="150">
        <v>7531.4</v>
      </c>
      <c r="G841">
        <v>-8.9350334899267747E-3</v>
      </c>
    </row>
    <row r="842" spans="1:7" x14ac:dyDescent="0.2">
      <c r="A842" t="s">
        <v>1023</v>
      </c>
      <c r="B842">
        <v>28.77</v>
      </c>
      <c r="C842" s="105">
        <v>2.1299254526091511E-2</v>
      </c>
      <c r="E842" s="149">
        <v>44382</v>
      </c>
      <c r="F842" s="150">
        <v>7589</v>
      </c>
      <c r="G842">
        <v>7.647980455161108E-3</v>
      </c>
    </row>
    <row r="843" spans="1:7" x14ac:dyDescent="0.2">
      <c r="A843" t="s">
        <v>1024</v>
      </c>
      <c r="B843">
        <v>28.8</v>
      </c>
      <c r="C843" s="105">
        <v>1.0427528675704253E-3</v>
      </c>
      <c r="E843" s="149">
        <v>44379</v>
      </c>
      <c r="F843" s="150">
        <v>7587.1</v>
      </c>
      <c r="G843">
        <v>-2.5036236658316461E-4</v>
      </c>
    </row>
    <row r="844" spans="1:7" x14ac:dyDescent="0.2">
      <c r="A844" t="s">
        <v>1025</v>
      </c>
      <c r="B844">
        <v>28.52</v>
      </c>
      <c r="C844" s="105">
        <v>-9.7222222222222623E-3</v>
      </c>
      <c r="E844" s="149">
        <v>44378</v>
      </c>
      <c r="F844" s="150">
        <v>7541.5</v>
      </c>
      <c r="G844">
        <v>-6.0102015262749088E-3</v>
      </c>
    </row>
    <row r="845" spans="1:7" x14ac:dyDescent="0.2">
      <c r="A845" t="s">
        <v>1026</v>
      </c>
      <c r="B845">
        <v>28.69</v>
      </c>
      <c r="C845" s="105">
        <v>5.960729312763033E-3</v>
      </c>
      <c r="E845" s="149">
        <v>44377</v>
      </c>
      <c r="F845" s="150">
        <v>7585</v>
      </c>
      <c r="G845">
        <v>5.7680832725585099E-3</v>
      </c>
    </row>
    <row r="846" spans="1:7" x14ac:dyDescent="0.2">
      <c r="A846" t="s">
        <v>1027</v>
      </c>
      <c r="B846">
        <v>28.38</v>
      </c>
      <c r="C846" s="105">
        <v>-1.0805158591843927E-2</v>
      </c>
      <c r="E846" s="149">
        <v>44376</v>
      </c>
      <c r="F846" s="150">
        <v>7565.5</v>
      </c>
      <c r="G846">
        <v>-2.5708635464733024E-3</v>
      </c>
    </row>
    <row r="847" spans="1:7" x14ac:dyDescent="0.2">
      <c r="A847" t="s">
        <v>1028</v>
      </c>
      <c r="B847">
        <v>28.34</v>
      </c>
      <c r="C847" s="105">
        <v>-1.4094432699083561E-3</v>
      </c>
      <c r="E847" s="149">
        <v>44375</v>
      </c>
      <c r="F847" s="150">
        <v>7572.5</v>
      </c>
      <c r="G847">
        <v>9.2525279228074817E-4</v>
      </c>
    </row>
    <row r="848" spans="1:7" x14ac:dyDescent="0.2">
      <c r="A848" t="s">
        <v>1029</v>
      </c>
      <c r="B848">
        <v>28.67</v>
      </c>
      <c r="C848" s="105">
        <v>1.164431898376859E-2</v>
      </c>
      <c r="E848" s="149">
        <v>44372</v>
      </c>
      <c r="F848" s="150">
        <v>7578.6</v>
      </c>
      <c r="G848">
        <v>8.0554638494557463E-4</v>
      </c>
    </row>
    <row r="849" spans="1:7" x14ac:dyDescent="0.2">
      <c r="A849" t="s">
        <v>1030</v>
      </c>
      <c r="B849">
        <v>28.23</v>
      </c>
      <c r="C849" s="105">
        <v>-1.5347052668294428E-2</v>
      </c>
      <c r="E849" s="149">
        <v>44371</v>
      </c>
      <c r="F849" s="150">
        <v>7539.1</v>
      </c>
      <c r="G849">
        <v>-5.2120444409257645E-3</v>
      </c>
    </row>
    <row r="850" spans="1:7" x14ac:dyDescent="0.2">
      <c r="A850" t="s">
        <v>1031</v>
      </c>
      <c r="B850">
        <v>28.73</v>
      </c>
      <c r="C850" s="105">
        <v>1.7711654268508677E-2</v>
      </c>
      <c r="E850" s="149">
        <v>44370</v>
      </c>
      <c r="F850" s="150">
        <v>7552.1</v>
      </c>
      <c r="G850">
        <v>1.7243437545595628E-3</v>
      </c>
    </row>
    <row r="851" spans="1:7" x14ac:dyDescent="0.2">
      <c r="A851" t="s">
        <v>1032</v>
      </c>
      <c r="B851">
        <v>28.61</v>
      </c>
      <c r="C851" s="105">
        <v>-4.1768186564567003E-3</v>
      </c>
      <c r="E851" s="149">
        <v>44369</v>
      </c>
      <c r="F851" s="150">
        <v>7592.7</v>
      </c>
      <c r="G851">
        <v>5.3759881357502487E-3</v>
      </c>
    </row>
    <row r="852" spans="1:7" x14ac:dyDescent="0.2">
      <c r="A852" t="s">
        <v>1033</v>
      </c>
      <c r="B852">
        <v>28.57</v>
      </c>
      <c r="C852" s="105">
        <v>-1.398112548060089E-3</v>
      </c>
      <c r="E852" s="149">
        <v>44368</v>
      </c>
      <c r="F852" s="150">
        <v>7485.2</v>
      </c>
      <c r="G852">
        <v>-1.4158336296706047E-2</v>
      </c>
    </row>
    <row r="853" spans="1:7" x14ac:dyDescent="0.2">
      <c r="A853" t="s">
        <v>1034</v>
      </c>
      <c r="B853">
        <v>28.63</v>
      </c>
      <c r="C853" s="105">
        <v>2.1001050052502179E-3</v>
      </c>
      <c r="E853" s="149">
        <v>44365</v>
      </c>
      <c r="F853" s="150">
        <v>7624.3</v>
      </c>
      <c r="G853">
        <v>1.8583337786565537E-2</v>
      </c>
    </row>
    <row r="854" spans="1:7" x14ac:dyDescent="0.2">
      <c r="A854" t="s">
        <v>1035</v>
      </c>
      <c r="B854">
        <v>27.88</v>
      </c>
      <c r="C854" s="105">
        <v>-2.6196297589940621E-2</v>
      </c>
      <c r="E854" s="149">
        <v>44364</v>
      </c>
      <c r="F854" s="150">
        <v>7600.5</v>
      </c>
      <c r="G854">
        <v>-3.1215980483454459E-3</v>
      </c>
    </row>
    <row r="855" spans="1:7" x14ac:dyDescent="0.2">
      <c r="A855" t="s">
        <v>1036</v>
      </c>
      <c r="B855">
        <v>27.72</v>
      </c>
      <c r="C855" s="105">
        <v>-5.7388809182209524E-3</v>
      </c>
      <c r="E855" s="149">
        <v>44363</v>
      </c>
      <c r="F855" s="150">
        <v>7633.4</v>
      </c>
      <c r="G855">
        <v>4.3286625879875845E-3</v>
      </c>
    </row>
    <row r="856" spans="1:7" x14ac:dyDescent="0.2">
      <c r="A856" t="s">
        <v>1037</v>
      </c>
      <c r="B856">
        <v>27.85</v>
      </c>
      <c r="C856" s="105">
        <v>4.6897546897547819E-3</v>
      </c>
      <c r="E856" s="149">
        <v>44362</v>
      </c>
      <c r="F856" s="150">
        <v>7633</v>
      </c>
      <c r="G856">
        <v>-5.2401289071663506E-5</v>
      </c>
    </row>
    <row r="857" spans="1:7" x14ac:dyDescent="0.2">
      <c r="A857" t="s">
        <v>1038</v>
      </c>
      <c r="B857">
        <v>27.16</v>
      </c>
      <c r="C857" s="105">
        <v>-2.477558348294439E-2</v>
      </c>
      <c r="E857" s="149">
        <v>44358</v>
      </c>
      <c r="F857" s="150">
        <v>7577.2</v>
      </c>
      <c r="G857">
        <v>-7.3103628979431651E-3</v>
      </c>
    </row>
    <row r="858" spans="1:7" x14ac:dyDescent="0.2">
      <c r="A858" t="s">
        <v>1039</v>
      </c>
      <c r="B858">
        <v>26.91</v>
      </c>
      <c r="C858" s="105">
        <v>-9.2047128129602359E-3</v>
      </c>
      <c r="E858" s="149">
        <v>44357</v>
      </c>
      <c r="F858" s="150">
        <v>7558.8</v>
      </c>
      <c r="G858">
        <v>-2.4283376445124369E-3</v>
      </c>
    </row>
    <row r="859" spans="1:7" x14ac:dyDescent="0.2">
      <c r="A859" t="s">
        <v>1040</v>
      </c>
      <c r="B859">
        <v>26.99</v>
      </c>
      <c r="C859" s="105">
        <v>2.9728725380898662E-3</v>
      </c>
      <c r="E859" s="149">
        <v>44356</v>
      </c>
      <c r="F859" s="150">
        <v>7522</v>
      </c>
      <c r="G859">
        <v>-4.8684976451288803E-3</v>
      </c>
    </row>
    <row r="860" spans="1:7" x14ac:dyDescent="0.2">
      <c r="A860" t="s">
        <v>1041</v>
      </c>
      <c r="B860">
        <v>27.21</v>
      </c>
      <c r="C860" s="105">
        <v>8.1511670989256185E-3</v>
      </c>
      <c r="E860" s="149">
        <v>44355</v>
      </c>
      <c r="F860" s="150">
        <v>7542.3</v>
      </c>
      <c r="G860">
        <v>2.6987503323584396E-3</v>
      </c>
    </row>
    <row r="861" spans="1:7" x14ac:dyDescent="0.2">
      <c r="A861" t="s">
        <v>1042</v>
      </c>
      <c r="B861">
        <v>27.48</v>
      </c>
      <c r="C861" s="105">
        <v>9.9228224917309645E-3</v>
      </c>
      <c r="E861" s="149">
        <v>44354</v>
      </c>
      <c r="F861" s="150">
        <v>7531.6</v>
      </c>
      <c r="G861">
        <v>-1.4186653938453545E-3</v>
      </c>
    </row>
    <row r="862" spans="1:7" x14ac:dyDescent="0.2">
      <c r="A862" t="s">
        <v>1043</v>
      </c>
      <c r="B862">
        <v>26.96</v>
      </c>
      <c r="C862" s="105">
        <v>-1.8922852983988339E-2</v>
      </c>
      <c r="E862" s="149">
        <v>44351</v>
      </c>
      <c r="F862" s="150">
        <v>7543.3</v>
      </c>
      <c r="G862">
        <v>1.5534547772053505E-3</v>
      </c>
    </row>
    <row r="863" spans="1:7" x14ac:dyDescent="0.2">
      <c r="A863" t="s">
        <v>1044</v>
      </c>
      <c r="B863">
        <v>26.7</v>
      </c>
      <c r="C863" s="105">
        <v>-9.6439169139466447E-3</v>
      </c>
      <c r="E863" s="149">
        <v>44350</v>
      </c>
      <c r="F863" s="150">
        <v>7510.7</v>
      </c>
      <c r="G863">
        <v>-4.3217159598584656E-3</v>
      </c>
    </row>
    <row r="864" spans="1:7" x14ac:dyDescent="0.2">
      <c r="A864" t="s">
        <v>1045</v>
      </c>
      <c r="B864">
        <v>26.45</v>
      </c>
      <c r="C864" s="105">
        <v>-9.3632958801498131E-3</v>
      </c>
      <c r="E864" s="149">
        <v>44349</v>
      </c>
      <c r="F864" s="150">
        <v>7468.9</v>
      </c>
      <c r="G864">
        <v>-5.5653933721224631E-3</v>
      </c>
    </row>
    <row r="865" spans="1:7" x14ac:dyDescent="0.2">
      <c r="A865" t="s">
        <v>1046</v>
      </c>
      <c r="B865">
        <v>26.52</v>
      </c>
      <c r="C865" s="105">
        <v>2.646502835538763E-3</v>
      </c>
      <c r="E865" s="149">
        <v>44348</v>
      </c>
      <c r="F865" s="150">
        <v>7392.1</v>
      </c>
      <c r="G865">
        <v>-1.0282638675039065E-2</v>
      </c>
    </row>
    <row r="866" spans="1:7" x14ac:dyDescent="0.2">
      <c r="A866" t="s">
        <v>1047</v>
      </c>
      <c r="B866">
        <v>26.34</v>
      </c>
      <c r="C866" s="105">
        <v>-6.7873303167420712E-3</v>
      </c>
      <c r="E866" s="149">
        <v>44347</v>
      </c>
      <c r="F866" s="150">
        <v>7406.7</v>
      </c>
      <c r="G866">
        <v>1.9750815059319344E-3</v>
      </c>
    </row>
    <row r="867" spans="1:7" x14ac:dyDescent="0.2">
      <c r="A867" t="s">
        <v>1048</v>
      </c>
      <c r="B867">
        <v>26.06</v>
      </c>
      <c r="C867" s="105">
        <v>-1.0630220197418418E-2</v>
      </c>
      <c r="E867" s="149">
        <v>44344</v>
      </c>
      <c r="F867" s="150">
        <v>7424</v>
      </c>
      <c r="G867">
        <v>2.335723061552403E-3</v>
      </c>
    </row>
    <row r="868" spans="1:7" x14ac:dyDescent="0.2">
      <c r="A868" t="s">
        <v>1049</v>
      </c>
      <c r="B868">
        <v>26.23</v>
      </c>
      <c r="C868" s="105">
        <v>6.5234075211052078E-3</v>
      </c>
      <c r="E868" s="149">
        <v>44343</v>
      </c>
      <c r="F868" s="150">
        <v>7344</v>
      </c>
      <c r="G868">
        <v>-1.0775862068965518E-2</v>
      </c>
    </row>
    <row r="869" spans="1:7" x14ac:dyDescent="0.2">
      <c r="A869" t="s">
        <v>1050</v>
      </c>
      <c r="B869">
        <v>25.86</v>
      </c>
      <c r="C869" s="105">
        <v>-1.4105985512771674E-2</v>
      </c>
      <c r="E869" s="149">
        <v>44342</v>
      </c>
      <c r="F869" s="150">
        <v>7331.6</v>
      </c>
      <c r="G869">
        <v>-1.6884531590413449E-3</v>
      </c>
    </row>
    <row r="870" spans="1:7" x14ac:dyDescent="0.2">
      <c r="A870" t="s">
        <v>1051</v>
      </c>
      <c r="B870">
        <v>25.2</v>
      </c>
      <c r="C870" s="105">
        <v>-2.5522041763341073E-2</v>
      </c>
      <c r="E870" s="149">
        <v>44341</v>
      </c>
      <c r="F870" s="150">
        <v>7349.1</v>
      </c>
      <c r="G870">
        <v>2.3869278193027442E-3</v>
      </c>
    </row>
    <row r="871" spans="1:7" x14ac:dyDescent="0.2">
      <c r="A871" t="s">
        <v>1052</v>
      </c>
      <c r="B871">
        <v>24.91</v>
      </c>
      <c r="C871" s="105">
        <v>-1.1507936507936474E-2</v>
      </c>
      <c r="E871" s="149">
        <v>44340</v>
      </c>
      <c r="F871" s="150">
        <v>7276</v>
      </c>
      <c r="G871">
        <v>-9.9467962063382407E-3</v>
      </c>
    </row>
    <row r="872" spans="1:7" x14ac:dyDescent="0.2">
      <c r="A872" t="s">
        <v>1053</v>
      </c>
      <c r="B872">
        <v>24.77</v>
      </c>
      <c r="C872" s="105">
        <v>-5.6202328382176057E-3</v>
      </c>
      <c r="E872" s="149">
        <v>44337</v>
      </c>
      <c r="F872" s="150">
        <v>7265.3</v>
      </c>
      <c r="G872">
        <v>-1.4705882352940927E-3</v>
      </c>
    </row>
    <row r="873" spans="1:7" x14ac:dyDescent="0.2">
      <c r="A873" t="s">
        <v>1054</v>
      </c>
      <c r="B873">
        <v>24.77</v>
      </c>
      <c r="C873" s="105">
        <v>0</v>
      </c>
      <c r="E873" s="149">
        <v>44336</v>
      </c>
      <c r="F873" s="150">
        <v>7252.6</v>
      </c>
      <c r="G873">
        <v>-1.7480351809284981E-3</v>
      </c>
    </row>
    <row r="874" spans="1:7" x14ac:dyDescent="0.2">
      <c r="A874" t="s">
        <v>1055</v>
      </c>
      <c r="B874">
        <v>24.42</v>
      </c>
      <c r="C874" s="105">
        <v>-1.4129995962858211E-2</v>
      </c>
      <c r="E874" s="149">
        <v>44335</v>
      </c>
      <c r="F874" s="150">
        <v>7165.7</v>
      </c>
      <c r="G874">
        <v>-1.1981909935747255E-2</v>
      </c>
    </row>
    <row r="875" spans="1:7" x14ac:dyDescent="0.2">
      <c r="A875" t="s">
        <v>1056</v>
      </c>
      <c r="B875">
        <v>25.09</v>
      </c>
      <c r="C875" s="105">
        <v>2.7436527436527358E-2</v>
      </c>
      <c r="E875" s="149">
        <v>44334</v>
      </c>
      <c r="F875" s="150">
        <v>7299.1</v>
      </c>
      <c r="G875">
        <v>1.8616464546380752E-2</v>
      </c>
    </row>
    <row r="876" spans="1:7" x14ac:dyDescent="0.2">
      <c r="A876" t="s">
        <v>1057</v>
      </c>
      <c r="B876">
        <v>25.24</v>
      </c>
      <c r="C876" s="105">
        <v>5.978477481068098E-3</v>
      </c>
      <c r="E876" s="149">
        <v>44333</v>
      </c>
      <c r="F876" s="150">
        <v>7255.8</v>
      </c>
      <c r="G876">
        <v>-5.9322382211505773E-3</v>
      </c>
    </row>
    <row r="877" spans="1:7" x14ac:dyDescent="0.2">
      <c r="A877" t="s">
        <v>1058</v>
      </c>
      <c r="B877">
        <v>25.32</v>
      </c>
      <c r="C877" s="105">
        <v>3.1695721077655251E-3</v>
      </c>
      <c r="E877" s="149">
        <v>44330</v>
      </c>
      <c r="F877" s="150">
        <v>7239.4</v>
      </c>
      <c r="G877">
        <v>-2.2602607569117872E-3</v>
      </c>
    </row>
    <row r="878" spans="1:7" x14ac:dyDescent="0.2">
      <c r="A878" t="s">
        <v>1059</v>
      </c>
      <c r="B878">
        <v>24.57</v>
      </c>
      <c r="C878" s="105">
        <v>-2.9620853080568721E-2</v>
      </c>
      <c r="E878" s="149">
        <v>44329</v>
      </c>
      <c r="F878" s="150">
        <v>7209</v>
      </c>
      <c r="G878">
        <v>-4.1992430311903802E-3</v>
      </c>
    </row>
    <row r="879" spans="1:7" x14ac:dyDescent="0.2">
      <c r="A879" t="s">
        <v>1060</v>
      </c>
      <c r="B879">
        <v>24.46</v>
      </c>
      <c r="C879" s="105">
        <v>-4.4770044770044539E-3</v>
      </c>
      <c r="E879" s="149">
        <v>44328</v>
      </c>
      <c r="F879" s="150">
        <v>7281.1</v>
      </c>
      <c r="G879">
        <v>1.0001387154945258E-2</v>
      </c>
    </row>
    <row r="880" spans="1:7" x14ac:dyDescent="0.2">
      <c r="A880" t="s">
        <v>1061</v>
      </c>
      <c r="B880">
        <v>24.28</v>
      </c>
      <c r="C880" s="105">
        <v>-7.3589533932951643E-3</v>
      </c>
      <c r="E880" s="149">
        <v>44327</v>
      </c>
      <c r="F880" s="150">
        <v>7331.6</v>
      </c>
      <c r="G880">
        <v>6.9357652003131393E-3</v>
      </c>
    </row>
    <row r="881" spans="1:7" x14ac:dyDescent="0.2">
      <c r="A881" t="s">
        <v>1062</v>
      </c>
      <c r="B881">
        <v>24.68</v>
      </c>
      <c r="C881" s="105">
        <v>1.6474464579901094E-2</v>
      </c>
      <c r="E881" s="149">
        <v>44326</v>
      </c>
      <c r="F881" s="150">
        <v>7419.8</v>
      </c>
      <c r="G881">
        <v>1.2030116209285806E-2</v>
      </c>
    </row>
    <row r="882" spans="1:7" x14ac:dyDescent="0.2">
      <c r="A882" t="s">
        <v>1063</v>
      </c>
      <c r="B882">
        <v>24.77</v>
      </c>
      <c r="C882" s="105">
        <v>3.6466774716369475E-3</v>
      </c>
      <c r="E882" s="149">
        <v>44323</v>
      </c>
      <c r="F882" s="150">
        <v>7325.2</v>
      </c>
      <c r="G882">
        <v>-1.2749669802420599E-2</v>
      </c>
    </row>
    <row r="883" spans="1:7" x14ac:dyDescent="0.2">
      <c r="A883" t="s">
        <v>1064</v>
      </c>
      <c r="B883">
        <v>25.03</v>
      </c>
      <c r="C883" s="105">
        <v>1.049656842955194E-2</v>
      </c>
      <c r="E883" s="149">
        <v>44322</v>
      </c>
      <c r="F883" s="150">
        <v>7306</v>
      </c>
      <c r="G883">
        <v>-2.6210888439905829E-3</v>
      </c>
    </row>
    <row r="884" spans="1:7" x14ac:dyDescent="0.2">
      <c r="A884" t="s">
        <v>1065</v>
      </c>
      <c r="B884">
        <v>25.67</v>
      </c>
      <c r="C884" s="105">
        <v>2.5569316819816241E-2</v>
      </c>
      <c r="E884" s="149">
        <v>44321</v>
      </c>
      <c r="F884" s="150">
        <v>7344.2</v>
      </c>
      <c r="G884">
        <v>5.2285792499315378E-3</v>
      </c>
    </row>
    <row r="885" spans="1:7" x14ac:dyDescent="0.2">
      <c r="A885" t="s">
        <v>1066</v>
      </c>
      <c r="B885">
        <v>25.7</v>
      </c>
      <c r="C885" s="105">
        <v>1.1686793922866217E-3</v>
      </c>
      <c r="E885" s="149">
        <v>44320</v>
      </c>
      <c r="F885" s="150">
        <v>7323.5</v>
      </c>
      <c r="G885">
        <v>-2.8185506930638897E-3</v>
      </c>
    </row>
    <row r="886" spans="1:7" x14ac:dyDescent="0.2">
      <c r="A886" t="s">
        <v>1067</v>
      </c>
      <c r="B886">
        <v>24.73</v>
      </c>
      <c r="C886" s="105">
        <v>-3.7743190661478555E-2</v>
      </c>
      <c r="E886" s="149">
        <v>44319</v>
      </c>
      <c r="F886" s="150">
        <v>7286.8</v>
      </c>
      <c r="G886">
        <v>-5.0112651054823269E-3</v>
      </c>
    </row>
    <row r="887" spans="1:7" x14ac:dyDescent="0.2">
      <c r="A887" t="s">
        <v>1068</v>
      </c>
      <c r="B887">
        <v>25</v>
      </c>
      <c r="C887" s="105">
        <v>1.0917913465426589E-2</v>
      </c>
      <c r="E887" s="149">
        <v>44316</v>
      </c>
      <c r="F887" s="150">
        <v>7290.7</v>
      </c>
      <c r="G887">
        <v>5.3521436021293793E-4</v>
      </c>
    </row>
    <row r="888" spans="1:7" x14ac:dyDescent="0.2">
      <c r="A888" t="s">
        <v>1069</v>
      </c>
      <c r="B888">
        <v>25.18</v>
      </c>
      <c r="C888" s="105">
        <v>7.1999999999999885E-3</v>
      </c>
      <c r="E888" s="149">
        <v>44315</v>
      </c>
      <c r="F888" s="150">
        <v>7346</v>
      </c>
      <c r="G888">
        <v>7.5850055550221764E-3</v>
      </c>
    </row>
    <row r="889" spans="1:7" x14ac:dyDescent="0.2">
      <c r="A889" t="s">
        <v>1070</v>
      </c>
      <c r="B889">
        <v>25.39</v>
      </c>
      <c r="C889" s="105">
        <v>8.3399523431295017E-3</v>
      </c>
      <c r="E889" s="149">
        <v>44314</v>
      </c>
      <c r="F889" s="150">
        <v>7320</v>
      </c>
      <c r="G889">
        <v>-3.5393411380343046E-3</v>
      </c>
    </row>
    <row r="890" spans="1:7" x14ac:dyDescent="0.2">
      <c r="A890" t="s">
        <v>1071</v>
      </c>
      <c r="B890">
        <v>25.32</v>
      </c>
      <c r="C890" s="105">
        <v>-2.7569909413154895E-3</v>
      </c>
      <c r="E890" s="149">
        <v>44313</v>
      </c>
      <c r="F890" s="150">
        <v>7295.5</v>
      </c>
      <c r="G890">
        <v>-3.3469945355191258E-3</v>
      </c>
    </row>
    <row r="891" spans="1:7" x14ac:dyDescent="0.2">
      <c r="A891" t="s">
        <v>1072</v>
      </c>
      <c r="B891">
        <v>25.61</v>
      </c>
      <c r="C891" s="105">
        <v>1.1453396524486539E-2</v>
      </c>
      <c r="E891" s="149">
        <v>44312</v>
      </c>
      <c r="F891" s="150">
        <v>7307.8</v>
      </c>
      <c r="G891">
        <v>1.6859708039202498E-3</v>
      </c>
    </row>
    <row r="892" spans="1:7" x14ac:dyDescent="0.2">
      <c r="A892" t="s">
        <v>1073</v>
      </c>
      <c r="B892">
        <v>25.65</v>
      </c>
      <c r="C892" s="105">
        <v>1.5618898867629499E-3</v>
      </c>
      <c r="E892" s="149">
        <v>44309</v>
      </c>
      <c r="F892" s="150">
        <v>7320.7</v>
      </c>
      <c r="G892">
        <v>1.7652371438736194E-3</v>
      </c>
    </row>
    <row r="893" spans="1:7" x14ac:dyDescent="0.2">
      <c r="A893" t="s">
        <v>1074</v>
      </c>
      <c r="B893">
        <v>26.57</v>
      </c>
      <c r="C893" s="105">
        <v>3.5867446393762249E-2</v>
      </c>
      <c r="E893" s="149">
        <v>44308</v>
      </c>
      <c r="F893" s="150">
        <v>7312</v>
      </c>
      <c r="G893">
        <v>-1.1884109443085795E-3</v>
      </c>
    </row>
    <row r="894" spans="1:7" x14ac:dyDescent="0.2">
      <c r="A894" t="s">
        <v>1075</v>
      </c>
      <c r="B894">
        <v>25.89</v>
      </c>
      <c r="C894" s="105">
        <v>-2.5592773805043271E-2</v>
      </c>
      <c r="E894" s="149">
        <v>44307</v>
      </c>
      <c r="F894" s="150">
        <v>7258.9</v>
      </c>
      <c r="G894">
        <v>-7.2620350109409686E-3</v>
      </c>
    </row>
    <row r="895" spans="1:7" x14ac:dyDescent="0.2">
      <c r="A895" t="s">
        <v>1076</v>
      </c>
      <c r="B895">
        <v>26.46</v>
      </c>
      <c r="C895" s="105">
        <v>2.201622247972191E-2</v>
      </c>
      <c r="E895" s="149">
        <v>44306</v>
      </c>
      <c r="F895" s="150">
        <v>7282.1</v>
      </c>
      <c r="G895">
        <v>3.1960765405227693E-3</v>
      </c>
    </row>
    <row r="896" spans="1:7" x14ac:dyDescent="0.2">
      <c r="A896" t="s">
        <v>1077</v>
      </c>
      <c r="B896">
        <v>26.89</v>
      </c>
      <c r="C896" s="105">
        <v>1.6250944822373381E-2</v>
      </c>
      <c r="E896" s="149">
        <v>44305</v>
      </c>
      <c r="F896" s="150">
        <v>7328</v>
      </c>
      <c r="G896">
        <v>6.3031268452780976E-3</v>
      </c>
    </row>
    <row r="897" spans="1:7" x14ac:dyDescent="0.2">
      <c r="A897" t="s">
        <v>1078</v>
      </c>
      <c r="B897">
        <v>26.9</v>
      </c>
      <c r="C897" s="105">
        <v>3.718854592784682E-4</v>
      </c>
      <c r="E897" s="149">
        <v>44302</v>
      </c>
      <c r="F897" s="150">
        <v>7325.8</v>
      </c>
      <c r="G897">
        <v>-3.002183406113289E-4</v>
      </c>
    </row>
    <row r="898" spans="1:7" x14ac:dyDescent="0.2">
      <c r="A898" t="s">
        <v>1079</v>
      </c>
      <c r="B898">
        <v>26.56</v>
      </c>
      <c r="C898" s="105">
        <v>-1.2639405204460961E-2</v>
      </c>
      <c r="E898" s="149">
        <v>44301</v>
      </c>
      <c r="F898" s="150">
        <v>7317.5</v>
      </c>
      <c r="G898">
        <v>-1.1329820633924187E-3</v>
      </c>
    </row>
    <row r="899" spans="1:7" x14ac:dyDescent="0.2">
      <c r="A899" t="s">
        <v>1080</v>
      </c>
      <c r="B899">
        <v>26.68</v>
      </c>
      <c r="C899" s="105">
        <v>4.5180722891566645E-3</v>
      </c>
      <c r="E899" s="149">
        <v>44300</v>
      </c>
      <c r="F899" s="150">
        <v>7280.6</v>
      </c>
      <c r="G899">
        <v>-5.0427058421591573E-3</v>
      </c>
    </row>
    <row r="900" spans="1:7" x14ac:dyDescent="0.2">
      <c r="A900" t="s">
        <v>1081</v>
      </c>
      <c r="B900">
        <v>26.4</v>
      </c>
      <c r="C900" s="105">
        <v>-1.0494752623688198E-2</v>
      </c>
      <c r="E900" s="149">
        <v>44299</v>
      </c>
      <c r="F900" s="150">
        <v>7231</v>
      </c>
      <c r="G900">
        <v>-6.812625333076994E-3</v>
      </c>
    </row>
    <row r="901" spans="1:7" x14ac:dyDescent="0.2">
      <c r="A901" t="s">
        <v>1082</v>
      </c>
      <c r="B901">
        <v>26.45</v>
      </c>
      <c r="C901" s="105">
        <v>1.8939393939394209E-3</v>
      </c>
      <c r="E901" s="149">
        <v>44298</v>
      </c>
      <c r="F901" s="150">
        <v>7225.2</v>
      </c>
      <c r="G901">
        <v>-8.0210206057256006E-4</v>
      </c>
    </row>
    <row r="902" spans="1:7" x14ac:dyDescent="0.2">
      <c r="A902" t="s">
        <v>1083</v>
      </c>
      <c r="B902">
        <v>26.87</v>
      </c>
      <c r="C902" s="105">
        <v>1.587901701323258E-2</v>
      </c>
      <c r="E902" s="149">
        <v>44295</v>
      </c>
      <c r="F902" s="150">
        <v>7252.3</v>
      </c>
      <c r="G902">
        <v>3.7507612246028294E-3</v>
      </c>
    </row>
    <row r="903" spans="1:7" x14ac:dyDescent="0.2">
      <c r="A903" t="s">
        <v>1084</v>
      </c>
      <c r="B903">
        <v>26.59</v>
      </c>
      <c r="C903" s="105">
        <v>-1.0420543356903652E-2</v>
      </c>
      <c r="E903" s="149">
        <v>44294</v>
      </c>
      <c r="F903" s="150">
        <v>7250.3</v>
      </c>
      <c r="G903">
        <v>-2.7577458185679024E-4</v>
      </c>
    </row>
    <row r="904" spans="1:7" x14ac:dyDescent="0.2">
      <c r="A904" t="s">
        <v>1085</v>
      </c>
      <c r="B904">
        <v>25.99</v>
      </c>
      <c r="C904" s="105">
        <v>-2.2564874012786815E-2</v>
      </c>
      <c r="E904" s="149">
        <v>44293</v>
      </c>
      <c r="F904" s="150">
        <v>7177.4</v>
      </c>
      <c r="G904">
        <v>-1.0054756354909527E-2</v>
      </c>
    </row>
    <row r="905" spans="1:7" x14ac:dyDescent="0.2">
      <c r="A905" t="s">
        <v>1086</v>
      </c>
      <c r="B905">
        <v>25.62</v>
      </c>
      <c r="C905" s="105">
        <v>-1.4236244709503557E-2</v>
      </c>
      <c r="E905" s="149">
        <v>44292</v>
      </c>
      <c r="F905" s="150">
        <v>7133.9</v>
      </c>
      <c r="G905">
        <v>-6.0606905007384295E-3</v>
      </c>
    </row>
    <row r="906" spans="1:7" x14ac:dyDescent="0.2">
      <c r="A906" t="s">
        <v>1087</v>
      </c>
      <c r="B906">
        <v>26</v>
      </c>
      <c r="C906" s="105">
        <v>1.4832162373145941E-2</v>
      </c>
      <c r="E906" s="149">
        <v>44287</v>
      </c>
      <c r="F906" s="150">
        <v>7064.2</v>
      </c>
      <c r="G906">
        <v>-9.7702518958774059E-3</v>
      </c>
    </row>
    <row r="907" spans="1:7" x14ac:dyDescent="0.2">
      <c r="A907" t="s">
        <v>1088</v>
      </c>
      <c r="B907">
        <v>25.89</v>
      </c>
      <c r="C907" s="105">
        <v>-4.230769230769209E-3</v>
      </c>
      <c r="E907" s="149">
        <v>44286</v>
      </c>
      <c r="F907" s="150">
        <v>7017</v>
      </c>
      <c r="G907">
        <v>-6.6815775317799354E-3</v>
      </c>
    </row>
    <row r="908" spans="1:7" x14ac:dyDescent="0.2">
      <c r="A908" t="s">
        <v>1089</v>
      </c>
      <c r="B908">
        <v>25.28</v>
      </c>
      <c r="C908" s="105">
        <v>-2.3561220548474291E-2</v>
      </c>
      <c r="E908" s="149">
        <v>44285</v>
      </c>
      <c r="F908" s="150">
        <v>6969.8</v>
      </c>
      <c r="G908">
        <v>-6.7265213054011428E-3</v>
      </c>
    </row>
    <row r="909" spans="1:7" x14ac:dyDescent="0.2">
      <c r="A909" t="s">
        <v>1090</v>
      </c>
      <c r="B909">
        <v>26.16</v>
      </c>
      <c r="C909" s="105">
        <v>3.4810126582278438E-2</v>
      </c>
      <c r="E909" s="149">
        <v>44284</v>
      </c>
      <c r="F909" s="150">
        <v>7036.4</v>
      </c>
      <c r="G909">
        <v>9.5555109185341686E-3</v>
      </c>
    </row>
    <row r="910" spans="1:7" x14ac:dyDescent="0.2">
      <c r="A910" t="s">
        <v>1091</v>
      </c>
      <c r="B910">
        <v>26.45</v>
      </c>
      <c r="C910" s="105">
        <v>1.1085626911314952E-2</v>
      </c>
      <c r="E910" s="149">
        <v>44281</v>
      </c>
      <c r="F910" s="150">
        <v>7063.1</v>
      </c>
      <c r="G910">
        <v>3.794554033312593E-3</v>
      </c>
    </row>
    <row r="911" spans="1:7" x14ac:dyDescent="0.2">
      <c r="A911" t="s">
        <v>1092</v>
      </c>
      <c r="B911">
        <v>26.05</v>
      </c>
      <c r="C911" s="105">
        <v>-1.5122873345935674E-2</v>
      </c>
      <c r="E911" s="149">
        <v>44280</v>
      </c>
      <c r="F911" s="150">
        <v>7022.6</v>
      </c>
      <c r="G911">
        <v>-5.7340261358327076E-3</v>
      </c>
    </row>
    <row r="912" spans="1:7" x14ac:dyDescent="0.2">
      <c r="A912" t="s">
        <v>1093</v>
      </c>
      <c r="B912">
        <v>26.07</v>
      </c>
      <c r="C912" s="105">
        <v>7.6775431861802589E-4</v>
      </c>
      <c r="E912" s="149">
        <v>44279</v>
      </c>
      <c r="F912" s="150">
        <v>7013.9</v>
      </c>
      <c r="G912">
        <v>-1.2388574032410685E-3</v>
      </c>
    </row>
    <row r="913" spans="1:7" x14ac:dyDescent="0.2">
      <c r="A913" t="s">
        <v>1094</v>
      </c>
      <c r="B913">
        <v>25.97</v>
      </c>
      <c r="C913" s="105">
        <v>-3.8358266206368016E-3</v>
      </c>
      <c r="E913" s="149">
        <v>44278</v>
      </c>
      <c r="F913" s="150">
        <v>6986.6</v>
      </c>
      <c r="G913">
        <v>-3.8922710617487095E-3</v>
      </c>
    </row>
    <row r="914" spans="1:7" x14ac:dyDescent="0.2">
      <c r="A914" t="s">
        <v>1095</v>
      </c>
      <c r="B914">
        <v>26.45</v>
      </c>
      <c r="C914" s="105">
        <v>1.8482864844050845E-2</v>
      </c>
      <c r="E914" s="149">
        <v>44277</v>
      </c>
      <c r="F914" s="150">
        <v>6995</v>
      </c>
      <c r="G914">
        <v>1.2023015486788474E-3</v>
      </c>
    </row>
    <row r="915" spans="1:7" x14ac:dyDescent="0.2">
      <c r="A915" t="s">
        <v>1096</v>
      </c>
      <c r="B915">
        <v>26.5</v>
      </c>
      <c r="C915" s="105">
        <v>1.8903591682419929E-3</v>
      </c>
      <c r="E915" s="149">
        <v>44274</v>
      </c>
      <c r="F915" s="150">
        <v>6959.6</v>
      </c>
      <c r="G915">
        <v>-5.0607576840599909E-3</v>
      </c>
    </row>
    <row r="916" spans="1:7" x14ac:dyDescent="0.2">
      <c r="A916" t="s">
        <v>1097</v>
      </c>
      <c r="B916">
        <v>26.56</v>
      </c>
      <c r="C916" s="105">
        <v>2.2641509433961779E-3</v>
      </c>
      <c r="E916" s="149">
        <v>44273</v>
      </c>
      <c r="F916" s="150">
        <v>7003.6</v>
      </c>
      <c r="G916">
        <v>6.3222024254267484E-3</v>
      </c>
    </row>
    <row r="917" spans="1:7" x14ac:dyDescent="0.2">
      <c r="A917" t="s">
        <v>1098</v>
      </c>
      <c r="B917">
        <v>25.52</v>
      </c>
      <c r="C917" s="105">
        <v>-3.9156626506024063E-2</v>
      </c>
      <c r="E917" s="149">
        <v>44272</v>
      </c>
      <c r="F917" s="150">
        <v>7048</v>
      </c>
      <c r="G917">
        <v>6.3395967787994219E-3</v>
      </c>
    </row>
    <row r="918" spans="1:7" x14ac:dyDescent="0.2">
      <c r="A918" t="s">
        <v>1099</v>
      </c>
      <c r="B918">
        <v>25.89</v>
      </c>
      <c r="C918" s="105">
        <v>1.4498432601880917E-2</v>
      </c>
      <c r="E918" s="149">
        <v>44271</v>
      </c>
      <c r="F918" s="150">
        <v>7079</v>
      </c>
      <c r="G918">
        <v>4.3984108967082859E-3</v>
      </c>
    </row>
    <row r="919" spans="1:7" x14ac:dyDescent="0.2">
      <c r="A919" t="s">
        <v>1100</v>
      </c>
      <c r="B919">
        <v>25</v>
      </c>
      <c r="C919" s="105">
        <v>-3.4376207029741236E-2</v>
      </c>
      <c r="E919" s="149">
        <v>44270</v>
      </c>
      <c r="F919" s="150">
        <v>7019.1</v>
      </c>
      <c r="G919">
        <v>-8.4616471253001323E-3</v>
      </c>
    </row>
    <row r="920" spans="1:7" x14ac:dyDescent="0.2">
      <c r="A920" t="s">
        <v>1101</v>
      </c>
      <c r="B920">
        <v>25.63</v>
      </c>
      <c r="C920" s="105">
        <v>2.5199999999999959E-2</v>
      </c>
      <c r="E920" s="149">
        <v>44267</v>
      </c>
      <c r="F920" s="150">
        <v>7014.6</v>
      </c>
      <c r="G920">
        <v>-6.4110783433773554E-4</v>
      </c>
    </row>
    <row r="921" spans="1:7" x14ac:dyDescent="0.2">
      <c r="A921" t="s">
        <v>1102</v>
      </c>
      <c r="B921">
        <v>25.44</v>
      </c>
      <c r="C921" s="105">
        <v>-7.4131876706983119E-3</v>
      </c>
      <c r="E921" s="149">
        <v>44266</v>
      </c>
      <c r="F921" s="150">
        <v>6952.9</v>
      </c>
      <c r="G921">
        <v>-8.7959398967868054E-3</v>
      </c>
    </row>
    <row r="922" spans="1:7" x14ac:dyDescent="0.2">
      <c r="A922" t="s">
        <v>1103</v>
      </c>
      <c r="B922">
        <v>25.18</v>
      </c>
      <c r="C922" s="105">
        <v>-1.0220125786163582E-2</v>
      </c>
      <c r="E922" s="149">
        <v>44265</v>
      </c>
      <c r="F922" s="150">
        <v>6947.2</v>
      </c>
      <c r="G922">
        <v>-8.198018093169495E-4</v>
      </c>
    </row>
    <row r="923" spans="1:7" x14ac:dyDescent="0.2">
      <c r="A923" t="s">
        <v>1104</v>
      </c>
      <c r="B923">
        <v>25.17</v>
      </c>
      <c r="C923" s="105">
        <v>-3.9714058776799089E-4</v>
      </c>
      <c r="E923" s="149">
        <v>44264</v>
      </c>
      <c r="F923" s="150">
        <v>7000.4</v>
      </c>
      <c r="G923">
        <v>7.6577614002763441E-3</v>
      </c>
    </row>
    <row r="924" spans="1:7" x14ac:dyDescent="0.2">
      <c r="A924" t="s">
        <v>1105</v>
      </c>
      <c r="B924">
        <v>25.65</v>
      </c>
      <c r="C924" s="105">
        <v>1.9070321811680446E-2</v>
      </c>
      <c r="E924" s="149">
        <v>44263</v>
      </c>
      <c r="F924" s="150">
        <v>6971.6</v>
      </c>
      <c r="G924">
        <v>-4.1140506256784285E-3</v>
      </c>
    </row>
    <row r="925" spans="1:7" x14ac:dyDescent="0.2">
      <c r="A925" t="s">
        <v>1106</v>
      </c>
      <c r="B925">
        <v>25.55</v>
      </c>
      <c r="C925" s="105">
        <v>-3.898635477582763E-3</v>
      </c>
      <c r="E925" s="149">
        <v>44260</v>
      </c>
      <c r="F925" s="150">
        <v>6943</v>
      </c>
      <c r="G925">
        <v>-4.1023581387343456E-3</v>
      </c>
    </row>
    <row r="926" spans="1:7" x14ac:dyDescent="0.2">
      <c r="A926" t="s">
        <v>1107</v>
      </c>
      <c r="B926">
        <v>26.29</v>
      </c>
      <c r="C926" s="105">
        <v>2.8962818003913832E-2</v>
      </c>
      <c r="E926" s="149">
        <v>44259</v>
      </c>
      <c r="F926" s="150">
        <v>7000.6</v>
      </c>
      <c r="G926">
        <v>8.2961255941236302E-3</v>
      </c>
    </row>
    <row r="927" spans="1:7" x14ac:dyDescent="0.2">
      <c r="A927" t="s">
        <v>1108</v>
      </c>
      <c r="B927">
        <v>26.89</v>
      </c>
      <c r="C927" s="105">
        <v>2.2822365918600283E-2</v>
      </c>
      <c r="E927" s="149">
        <v>44258</v>
      </c>
      <c r="F927" s="150">
        <v>7067.9</v>
      </c>
      <c r="G927">
        <v>9.6134617032824707E-3</v>
      </c>
    </row>
    <row r="928" spans="1:7" x14ac:dyDescent="0.2">
      <c r="A928" t="s">
        <v>1109</v>
      </c>
      <c r="B928">
        <v>26.54</v>
      </c>
      <c r="C928" s="105">
        <v>-1.3015991074749029E-2</v>
      </c>
      <c r="E928" s="149">
        <v>44257</v>
      </c>
      <c r="F928" s="150">
        <v>7009.9</v>
      </c>
      <c r="G928">
        <v>-8.2061149705004322E-3</v>
      </c>
    </row>
    <row r="929" spans="1:7" x14ac:dyDescent="0.2">
      <c r="A929" t="s">
        <v>1110</v>
      </c>
      <c r="B929">
        <v>26.85</v>
      </c>
      <c r="C929" s="105">
        <v>1.1680482290881774E-2</v>
      </c>
      <c r="E929" s="149">
        <v>44256</v>
      </c>
      <c r="F929" s="150">
        <v>7042.7</v>
      </c>
      <c r="G929">
        <v>4.6790967060871312E-3</v>
      </c>
    </row>
    <row r="930" spans="1:7" x14ac:dyDescent="0.2">
      <c r="A930" t="s">
        <v>1111</v>
      </c>
      <c r="B930">
        <v>26.78</v>
      </c>
      <c r="C930" s="105">
        <v>-2.6070763500931201E-3</v>
      </c>
      <c r="E930" s="149">
        <v>44253</v>
      </c>
      <c r="F930" s="150">
        <v>6940.6</v>
      </c>
      <c r="G930">
        <v>-1.4497280872392613E-2</v>
      </c>
    </row>
    <row r="931" spans="1:7" x14ac:dyDescent="0.2">
      <c r="A931" t="s">
        <v>1112</v>
      </c>
      <c r="B931">
        <v>27.24</v>
      </c>
      <c r="C931" s="105">
        <v>1.7176997759521931E-2</v>
      </c>
      <c r="E931" s="149">
        <v>44252</v>
      </c>
      <c r="F931" s="150">
        <v>7105.7</v>
      </c>
      <c r="G931">
        <v>2.378756879808654E-2</v>
      </c>
    </row>
    <row r="932" spans="1:7" x14ac:dyDescent="0.2">
      <c r="A932" t="s">
        <v>1113</v>
      </c>
      <c r="B932">
        <v>27.59</v>
      </c>
      <c r="C932" s="105">
        <v>1.284875183553603E-2</v>
      </c>
      <c r="E932" s="149">
        <v>44251</v>
      </c>
      <c r="F932" s="150">
        <v>7049.4</v>
      </c>
      <c r="G932">
        <v>-7.9232165726107473E-3</v>
      </c>
    </row>
    <row r="933" spans="1:7" x14ac:dyDescent="0.2">
      <c r="A933" t="s">
        <v>1114</v>
      </c>
      <c r="B933">
        <v>27.7</v>
      </c>
      <c r="C933" s="105">
        <v>3.9869517941282864E-3</v>
      </c>
      <c r="E933" s="149">
        <v>44250</v>
      </c>
      <c r="F933" s="150">
        <v>7110.8</v>
      </c>
      <c r="G933">
        <v>8.7099611314438892E-3</v>
      </c>
    </row>
    <row r="934" spans="1:7" x14ac:dyDescent="0.2">
      <c r="A934" t="s">
        <v>1115</v>
      </c>
      <c r="B934">
        <v>28.12</v>
      </c>
      <c r="C934" s="105">
        <v>1.5162454873646272E-2</v>
      </c>
      <c r="E934" s="149">
        <v>44249</v>
      </c>
      <c r="F934" s="150">
        <v>7061.6</v>
      </c>
      <c r="G934">
        <v>-6.9190527085559736E-3</v>
      </c>
    </row>
    <row r="935" spans="1:7" x14ac:dyDescent="0.2">
      <c r="A935" t="s">
        <v>1116</v>
      </c>
      <c r="B935">
        <v>28.83</v>
      </c>
      <c r="C935" s="105">
        <v>2.524893314366989E-2</v>
      </c>
      <c r="E935" s="149">
        <v>44246</v>
      </c>
      <c r="F935" s="150">
        <v>7064</v>
      </c>
      <c r="G935">
        <v>3.3986631924771103E-4</v>
      </c>
    </row>
    <row r="936" spans="1:7" x14ac:dyDescent="0.2">
      <c r="A936" t="s">
        <v>1117</v>
      </c>
      <c r="B936">
        <v>29.55</v>
      </c>
      <c r="C936" s="105">
        <v>2.4973985431841917E-2</v>
      </c>
      <c r="E936" s="149">
        <v>44245</v>
      </c>
      <c r="F936" s="150">
        <v>7155.5</v>
      </c>
      <c r="G936">
        <v>1.2953001132502832E-2</v>
      </c>
    </row>
    <row r="937" spans="1:7" x14ac:dyDescent="0.2">
      <c r="A937" t="s">
        <v>1118</v>
      </c>
      <c r="B937">
        <v>29.48</v>
      </c>
      <c r="C937" s="105">
        <v>-2.3688663282572008E-3</v>
      </c>
      <c r="E937" s="149">
        <v>44244</v>
      </c>
      <c r="F937" s="150">
        <v>7158.8</v>
      </c>
      <c r="G937">
        <v>4.6118370484245431E-4</v>
      </c>
    </row>
    <row r="938" spans="1:7" x14ac:dyDescent="0.2">
      <c r="A938" t="s">
        <v>1119</v>
      </c>
      <c r="B938">
        <v>29.93</v>
      </c>
      <c r="C938" s="105">
        <v>1.5264586160108524E-2</v>
      </c>
      <c r="E938" s="149">
        <v>44243</v>
      </c>
      <c r="F938" s="150">
        <v>7189.3</v>
      </c>
      <c r="G938">
        <v>4.2604905850142484E-3</v>
      </c>
    </row>
    <row r="939" spans="1:7" x14ac:dyDescent="0.2">
      <c r="A939" t="s">
        <v>1120</v>
      </c>
      <c r="B939">
        <v>29.13</v>
      </c>
      <c r="C939" s="105">
        <v>-2.6729034413631832E-2</v>
      </c>
      <c r="E939" s="149">
        <v>44242</v>
      </c>
      <c r="F939" s="150">
        <v>7149.7</v>
      </c>
      <c r="G939">
        <v>-5.5081857760839528E-3</v>
      </c>
    </row>
    <row r="940" spans="1:7" x14ac:dyDescent="0.2">
      <c r="A940" t="s">
        <v>1121</v>
      </c>
      <c r="B940">
        <v>28.56</v>
      </c>
      <c r="C940" s="105">
        <v>-1.956745623069002E-2</v>
      </c>
      <c r="E940" s="149">
        <v>44239</v>
      </c>
      <c r="F940" s="150">
        <v>7081.3</v>
      </c>
      <c r="G940">
        <v>-9.5668349720966807E-3</v>
      </c>
    </row>
    <row r="941" spans="1:7" x14ac:dyDescent="0.2">
      <c r="A941" t="s">
        <v>1122</v>
      </c>
      <c r="B941">
        <v>28.6</v>
      </c>
      <c r="C941" s="105">
        <v>1.4005602240897304E-3</v>
      </c>
      <c r="E941" s="149">
        <v>44238</v>
      </c>
      <c r="F941" s="150">
        <v>7122.1</v>
      </c>
      <c r="G941">
        <v>5.761653933599788E-3</v>
      </c>
    </row>
    <row r="942" spans="1:7" x14ac:dyDescent="0.2">
      <c r="A942" t="s">
        <v>1123</v>
      </c>
      <c r="B942">
        <v>29.11</v>
      </c>
      <c r="C942" s="105">
        <v>1.7832167832167761E-2</v>
      </c>
      <c r="E942" s="149">
        <v>44237</v>
      </c>
      <c r="F942" s="150">
        <v>7133.8</v>
      </c>
      <c r="G942">
        <v>1.6427739009561529E-3</v>
      </c>
    </row>
    <row r="943" spans="1:7" x14ac:dyDescent="0.2">
      <c r="A943" t="s">
        <v>1124</v>
      </c>
      <c r="B943">
        <v>29.16</v>
      </c>
      <c r="C943" s="105">
        <v>1.7176228100309417E-3</v>
      </c>
      <c r="E943" s="149">
        <v>44236</v>
      </c>
      <c r="F943" s="150">
        <v>7102.1</v>
      </c>
      <c r="G943">
        <v>-4.4436345285822163E-3</v>
      </c>
    </row>
    <row r="944" spans="1:7" x14ac:dyDescent="0.2">
      <c r="A944" t="s">
        <v>1125</v>
      </c>
      <c r="B944">
        <v>29.41</v>
      </c>
      <c r="C944" s="105">
        <v>8.5733882030178329E-3</v>
      </c>
      <c r="E944" s="149">
        <v>44235</v>
      </c>
      <c r="F944" s="150">
        <v>7160.8</v>
      </c>
      <c r="G944">
        <v>8.2651610087157053E-3</v>
      </c>
    </row>
    <row r="945" spans="1:7" x14ac:dyDescent="0.2">
      <c r="A945" t="s">
        <v>1126</v>
      </c>
      <c r="B945">
        <v>29.27</v>
      </c>
      <c r="C945" s="105">
        <v>-4.7602856171370476E-3</v>
      </c>
      <c r="E945" s="149">
        <v>44232</v>
      </c>
      <c r="F945" s="150">
        <v>7112.9</v>
      </c>
      <c r="G945">
        <v>-6.6891967377947356E-3</v>
      </c>
    </row>
    <row r="946" spans="1:7" x14ac:dyDescent="0.2">
      <c r="A946" t="s">
        <v>1127</v>
      </c>
      <c r="B946">
        <v>28.61</v>
      </c>
      <c r="C946" s="105">
        <v>-2.2548684660061501E-2</v>
      </c>
      <c r="E946" s="149">
        <v>44231</v>
      </c>
      <c r="F946" s="150">
        <v>7037.9</v>
      </c>
      <c r="G946">
        <v>-1.0544222469035134E-2</v>
      </c>
    </row>
    <row r="947" spans="1:7" x14ac:dyDescent="0.2">
      <c r="A947" t="s">
        <v>1128</v>
      </c>
      <c r="B947">
        <v>28.84</v>
      </c>
      <c r="C947" s="105">
        <v>8.0391471513456981E-3</v>
      </c>
      <c r="E947" s="149">
        <v>44230</v>
      </c>
      <c r="F947" s="150">
        <v>7090.9</v>
      </c>
      <c r="G947">
        <v>7.5306554511999323E-3</v>
      </c>
    </row>
    <row r="948" spans="1:7" x14ac:dyDescent="0.2">
      <c r="A948" t="s">
        <v>1129</v>
      </c>
      <c r="B948">
        <v>28.17</v>
      </c>
      <c r="C948" s="105">
        <v>-2.3231622746185791E-2</v>
      </c>
      <c r="E948" s="149">
        <v>44229</v>
      </c>
      <c r="F948" s="150">
        <v>7027.5</v>
      </c>
      <c r="G948">
        <v>-8.9410371038936721E-3</v>
      </c>
    </row>
    <row r="949" spans="1:7" x14ac:dyDescent="0.2">
      <c r="A949" t="s">
        <v>1130</v>
      </c>
      <c r="B949">
        <v>27.58</v>
      </c>
      <c r="C949" s="105">
        <v>-2.0944266950656848E-2</v>
      </c>
      <c r="E949" s="149">
        <v>44228</v>
      </c>
      <c r="F949" s="150">
        <v>6922.8</v>
      </c>
      <c r="G949">
        <v>-1.4898612593383112E-2</v>
      </c>
    </row>
    <row r="950" spans="1:7" x14ac:dyDescent="0.2">
      <c r="A950" t="s">
        <v>1131</v>
      </c>
      <c r="B950">
        <v>27.7</v>
      </c>
      <c r="C950" s="105">
        <v>4.3509789702683467E-3</v>
      </c>
      <c r="E950" s="149">
        <v>44225</v>
      </c>
      <c r="F950" s="150">
        <v>6870.9</v>
      </c>
      <c r="G950">
        <v>-7.4969665453285582E-3</v>
      </c>
    </row>
    <row r="951" spans="1:7" x14ac:dyDescent="0.2">
      <c r="A951" t="s">
        <v>1132</v>
      </c>
      <c r="B951">
        <v>27.66</v>
      </c>
      <c r="C951" s="105">
        <v>-1.4440433212996083E-3</v>
      </c>
      <c r="E951" s="149">
        <v>44224</v>
      </c>
      <c r="F951" s="150">
        <v>6917.6</v>
      </c>
      <c r="G951">
        <v>6.7967806255367896E-3</v>
      </c>
    </row>
    <row r="952" spans="1:7" x14ac:dyDescent="0.2">
      <c r="A952" t="s">
        <v>1133</v>
      </c>
      <c r="B952">
        <v>28.65</v>
      </c>
      <c r="C952" s="105">
        <v>3.579175704989148E-2</v>
      </c>
      <c r="E952" s="149">
        <v>44223</v>
      </c>
      <c r="F952" s="150">
        <v>7060.2</v>
      </c>
      <c r="G952">
        <v>2.0614085810107471E-2</v>
      </c>
    </row>
    <row r="953" spans="1:7" x14ac:dyDescent="0.2">
      <c r="A953" t="s">
        <v>1134</v>
      </c>
      <c r="B953">
        <v>28.64</v>
      </c>
      <c r="C953" s="105">
        <v>-3.4904013961598642E-4</v>
      </c>
      <c r="E953" s="149">
        <v>44221</v>
      </c>
      <c r="F953" s="150">
        <v>7111.4</v>
      </c>
      <c r="G953">
        <v>7.2519192090875354E-3</v>
      </c>
    </row>
    <row r="954" spans="1:7" x14ac:dyDescent="0.2">
      <c r="A954" t="s">
        <v>1135</v>
      </c>
      <c r="B954">
        <v>28.36</v>
      </c>
      <c r="C954" s="105">
        <v>-9.776536312849202E-3</v>
      </c>
      <c r="E954" s="149">
        <v>44218</v>
      </c>
      <c r="F954" s="150">
        <v>7078.9</v>
      </c>
      <c r="G954">
        <v>-4.570126838597182E-3</v>
      </c>
    </row>
    <row r="955" spans="1:7" x14ac:dyDescent="0.2">
      <c r="A955" t="s">
        <v>1136</v>
      </c>
      <c r="B955">
        <v>27.81</v>
      </c>
      <c r="C955" s="105">
        <v>-1.9393511988716527E-2</v>
      </c>
      <c r="E955" s="149">
        <v>44217</v>
      </c>
      <c r="F955" s="150">
        <v>7107.1</v>
      </c>
      <c r="G955">
        <v>3.9836697792030862E-3</v>
      </c>
    </row>
    <row r="956" spans="1:7" x14ac:dyDescent="0.2">
      <c r="A956" t="s">
        <v>1137</v>
      </c>
      <c r="B956">
        <v>27.5</v>
      </c>
      <c r="C956" s="105">
        <v>-1.1147069399496539E-2</v>
      </c>
      <c r="E956" s="149">
        <v>44216</v>
      </c>
      <c r="F956" s="150">
        <v>7051</v>
      </c>
      <c r="G956">
        <v>-7.8935149357685069E-3</v>
      </c>
    </row>
    <row r="957" spans="1:7" x14ac:dyDescent="0.2">
      <c r="A957" t="s">
        <v>1138</v>
      </c>
      <c r="B957">
        <v>26.52</v>
      </c>
      <c r="C957" s="105">
        <v>-3.5636363636363654E-2</v>
      </c>
      <c r="E957" s="149">
        <v>44215</v>
      </c>
      <c r="F957" s="150">
        <v>7015</v>
      </c>
      <c r="G957">
        <v>-5.1056587718054181E-3</v>
      </c>
    </row>
    <row r="958" spans="1:7" x14ac:dyDescent="0.2">
      <c r="A958" t="s">
        <v>1139</v>
      </c>
      <c r="B958">
        <v>25.59</v>
      </c>
      <c r="C958" s="105">
        <v>-3.5067873303167407E-2</v>
      </c>
      <c r="E958" s="149">
        <v>44214</v>
      </c>
      <c r="F958" s="150">
        <v>6935.4</v>
      </c>
      <c r="G958">
        <v>-1.1347113328581663E-2</v>
      </c>
    </row>
    <row r="959" spans="1:7" x14ac:dyDescent="0.2">
      <c r="A959" t="s">
        <v>1140</v>
      </c>
      <c r="B959">
        <v>25.46</v>
      </c>
      <c r="C959" s="105">
        <v>-5.0801094177412662E-3</v>
      </c>
      <c r="E959" s="149">
        <v>44211</v>
      </c>
      <c r="F959" s="150">
        <v>6986.8</v>
      </c>
      <c r="G959">
        <v>7.4112524151455647E-3</v>
      </c>
    </row>
    <row r="960" spans="1:7" x14ac:dyDescent="0.2">
      <c r="A960" t="s">
        <v>1141</v>
      </c>
      <c r="B960">
        <v>25.48</v>
      </c>
      <c r="C960" s="105">
        <v>7.8554595443831789E-4</v>
      </c>
      <c r="E960" s="149">
        <v>44210</v>
      </c>
      <c r="F960" s="150">
        <v>6982.7</v>
      </c>
      <c r="G960">
        <v>-5.8682086219733831E-4</v>
      </c>
    </row>
    <row r="961" spans="1:7" x14ac:dyDescent="0.2">
      <c r="A961" t="s">
        <v>1142</v>
      </c>
      <c r="B961">
        <v>24.37</v>
      </c>
      <c r="C961" s="105">
        <v>-4.3563579277864972E-2</v>
      </c>
      <c r="E961" s="149">
        <v>44209</v>
      </c>
      <c r="F961" s="150">
        <v>6953.9</v>
      </c>
      <c r="G961">
        <v>-4.1244790697008583E-3</v>
      </c>
    </row>
    <row r="962" spans="1:7" x14ac:dyDescent="0.2">
      <c r="A962" t="s">
        <v>1143</v>
      </c>
      <c r="B962">
        <v>24.37</v>
      </c>
      <c r="C962" s="105">
        <v>0</v>
      </c>
      <c r="E962" s="149">
        <v>44208</v>
      </c>
      <c r="F962" s="150">
        <v>6939.1</v>
      </c>
      <c r="G962">
        <v>-2.1283021038552858E-3</v>
      </c>
    </row>
    <row r="963" spans="1:7" x14ac:dyDescent="0.2">
      <c r="A963" t="s">
        <v>1144</v>
      </c>
      <c r="B963">
        <v>23.99</v>
      </c>
      <c r="C963" s="105">
        <v>-1.5592942141977945E-2</v>
      </c>
      <c r="E963" s="149">
        <v>44207</v>
      </c>
      <c r="F963" s="150">
        <v>6959.5</v>
      </c>
      <c r="G963">
        <v>2.9398625181939497E-3</v>
      </c>
    </row>
    <row r="964" spans="1:7" x14ac:dyDescent="0.2">
      <c r="A964" t="s">
        <v>1145</v>
      </c>
      <c r="B964">
        <v>24.19</v>
      </c>
      <c r="C964" s="105">
        <v>8.3368070029180008E-3</v>
      </c>
      <c r="E964" s="149">
        <v>44204</v>
      </c>
      <c r="F964" s="150">
        <v>7024.2</v>
      </c>
      <c r="G964">
        <v>9.2966448739133303E-3</v>
      </c>
    </row>
    <row r="965" spans="1:7" x14ac:dyDescent="0.2">
      <c r="A965" t="s">
        <v>1146</v>
      </c>
      <c r="B965">
        <v>23.48</v>
      </c>
      <c r="C965" s="105">
        <v>-2.9350971475816487E-2</v>
      </c>
      <c r="E965" s="149">
        <v>44203</v>
      </c>
      <c r="F965" s="150">
        <v>6980.5</v>
      </c>
      <c r="G965">
        <v>-6.2213490504256456E-3</v>
      </c>
    </row>
    <row r="966" spans="1:7" x14ac:dyDescent="0.2">
      <c r="A966" t="s">
        <v>1147</v>
      </c>
      <c r="B966">
        <v>23.88</v>
      </c>
      <c r="C966" s="105">
        <v>1.7035775127768254E-2</v>
      </c>
      <c r="E966" s="149">
        <v>44202</v>
      </c>
      <c r="F966" s="150">
        <v>6881.4</v>
      </c>
      <c r="G966">
        <v>-1.4196690781462698E-2</v>
      </c>
    </row>
    <row r="967" spans="1:7" x14ac:dyDescent="0.2">
      <c r="A967" t="s">
        <v>1148</v>
      </c>
      <c r="B967">
        <v>24.67</v>
      </c>
      <c r="C967" s="105">
        <v>3.3082077051926416E-2</v>
      </c>
      <c r="E967" s="149">
        <v>44201</v>
      </c>
      <c r="F967" s="150">
        <v>6955.7</v>
      </c>
      <c r="G967">
        <v>1.0797221495625916E-2</v>
      </c>
    </row>
    <row r="968" spans="1:7" x14ac:dyDescent="0.2">
      <c r="A968" t="s">
        <v>1149</v>
      </c>
      <c r="B968">
        <v>24.7</v>
      </c>
      <c r="C968" s="105">
        <v>1.2160518848803236E-3</v>
      </c>
      <c r="E968" s="149">
        <v>44200</v>
      </c>
      <c r="F968" s="150">
        <v>6953.7</v>
      </c>
      <c r="G968">
        <v>-2.8753396494960966E-4</v>
      </c>
    </row>
    <row r="969" spans="1:7" x14ac:dyDescent="0.2">
      <c r="A969" t="s">
        <v>1150</v>
      </c>
      <c r="B969">
        <v>24.41</v>
      </c>
      <c r="C969" s="105">
        <v>-1.1740890688259075E-2</v>
      </c>
      <c r="E969" s="149">
        <v>44196</v>
      </c>
      <c r="F969" s="150">
        <v>6850.6</v>
      </c>
      <c r="G969">
        <v>-1.4826639055466795E-2</v>
      </c>
    </row>
    <row r="970" spans="1:7" x14ac:dyDescent="0.2">
      <c r="A970" t="s">
        <v>1151</v>
      </c>
      <c r="B970">
        <v>24.25</v>
      </c>
      <c r="C970" s="105">
        <v>-6.5546907005325748E-3</v>
      </c>
      <c r="E970" s="149">
        <v>44195</v>
      </c>
      <c r="F970" s="150">
        <v>6942.9</v>
      </c>
      <c r="G970">
        <v>1.347327241409501E-2</v>
      </c>
    </row>
    <row r="971" spans="1:7" x14ac:dyDescent="0.2">
      <c r="A971" t="s">
        <v>1152</v>
      </c>
      <c r="B971">
        <v>24.17</v>
      </c>
      <c r="C971" s="105">
        <v>-3.2989690721648779E-3</v>
      </c>
      <c r="E971" s="149">
        <v>44194</v>
      </c>
      <c r="F971" s="150">
        <v>6962.1</v>
      </c>
      <c r="G971">
        <v>2.7654150283023993E-3</v>
      </c>
    </row>
    <row r="972" spans="1:7" x14ac:dyDescent="0.2">
      <c r="A972" t="s">
        <v>1153</v>
      </c>
      <c r="B972">
        <v>23.92</v>
      </c>
      <c r="C972" s="105">
        <v>-1.0343400910219279E-2</v>
      </c>
      <c r="E972" s="149">
        <v>44189</v>
      </c>
      <c r="F972" s="150">
        <v>6917.5</v>
      </c>
      <c r="G972">
        <v>-6.4061130980595455E-3</v>
      </c>
    </row>
    <row r="973" spans="1:7" x14ac:dyDescent="0.2">
      <c r="A973" t="s">
        <v>1154</v>
      </c>
      <c r="B973">
        <v>23.91</v>
      </c>
      <c r="C973" s="105">
        <v>-4.1806020066896164E-4</v>
      </c>
      <c r="E973" s="149">
        <v>44188</v>
      </c>
      <c r="F973" s="150">
        <v>6892.6</v>
      </c>
      <c r="G973">
        <v>-3.5995663173111147E-3</v>
      </c>
    </row>
    <row r="974" spans="1:7" x14ac:dyDescent="0.2">
      <c r="A974" t="s">
        <v>1155</v>
      </c>
      <c r="B974">
        <v>23.58</v>
      </c>
      <c r="C974" s="105">
        <v>-1.3801756587202084E-2</v>
      </c>
      <c r="E974" s="149">
        <v>44187</v>
      </c>
      <c r="F974" s="150">
        <v>6845.5</v>
      </c>
      <c r="G974">
        <v>-6.8334155471085458E-3</v>
      </c>
    </row>
    <row r="975" spans="1:7" x14ac:dyDescent="0.2">
      <c r="A975" t="s">
        <v>1156</v>
      </c>
      <c r="B975">
        <v>23.24</v>
      </c>
      <c r="C975" s="105">
        <v>-1.4418999151823575E-2</v>
      </c>
      <c r="E975" s="149">
        <v>44186</v>
      </c>
      <c r="F975" s="150">
        <v>6920</v>
      </c>
      <c r="G975">
        <v>1.0883061865459061E-2</v>
      </c>
    </row>
    <row r="976" spans="1:7" x14ac:dyDescent="0.2">
      <c r="A976" t="s">
        <v>1157</v>
      </c>
      <c r="B976">
        <v>23.27</v>
      </c>
      <c r="C976" s="105">
        <v>1.2908777969019424E-3</v>
      </c>
      <c r="E976" s="149">
        <v>44183</v>
      </c>
      <c r="F976" s="150">
        <v>6924.1</v>
      </c>
      <c r="G976">
        <v>5.9248554913300059E-4</v>
      </c>
    </row>
    <row r="977" spans="1:7" x14ac:dyDescent="0.2">
      <c r="A977" t="s">
        <v>1158</v>
      </c>
      <c r="B977">
        <v>23.54</v>
      </c>
      <c r="C977" s="105">
        <v>1.160292221744734E-2</v>
      </c>
      <c r="E977" s="149">
        <v>44182</v>
      </c>
      <c r="F977" s="150">
        <v>7000.1</v>
      </c>
      <c r="G977">
        <v>1.0976155745873109E-2</v>
      </c>
    </row>
    <row r="978" spans="1:7" x14ac:dyDescent="0.2">
      <c r="A978" t="s">
        <v>1159</v>
      </c>
      <c r="B978">
        <v>23.08</v>
      </c>
      <c r="C978" s="105">
        <v>-1.9541206457094343E-2</v>
      </c>
      <c r="E978" s="149">
        <v>44181</v>
      </c>
      <c r="F978" s="150">
        <v>6916.7</v>
      </c>
      <c r="G978">
        <v>-1.191411551263561E-2</v>
      </c>
    </row>
    <row r="979" spans="1:7" x14ac:dyDescent="0.2">
      <c r="A979" t="s">
        <v>1160</v>
      </c>
      <c r="B979">
        <v>22.85</v>
      </c>
      <c r="C979" s="105">
        <v>-9.965337954939207E-3</v>
      </c>
      <c r="E979" s="149">
        <v>44180</v>
      </c>
      <c r="F979" s="150">
        <v>6866.7</v>
      </c>
      <c r="G979">
        <v>-7.228880824670725E-3</v>
      </c>
    </row>
    <row r="980" spans="1:7" x14ac:dyDescent="0.2">
      <c r="A980" t="s">
        <v>1161</v>
      </c>
      <c r="B980">
        <v>22.71</v>
      </c>
      <c r="C980" s="105">
        <v>-6.1269146608315343E-3</v>
      </c>
      <c r="E980" s="149">
        <v>44179</v>
      </c>
      <c r="F980" s="150">
        <v>6900.3</v>
      </c>
      <c r="G980">
        <v>4.8931801301935959E-3</v>
      </c>
    </row>
    <row r="981" spans="1:7" x14ac:dyDescent="0.2">
      <c r="A981" t="s">
        <v>1162</v>
      </c>
      <c r="B981">
        <v>22.81</v>
      </c>
      <c r="C981" s="105">
        <v>4.4033465433728691E-3</v>
      </c>
      <c r="E981" s="149">
        <v>44176</v>
      </c>
      <c r="F981" s="150">
        <v>6886.4</v>
      </c>
      <c r="G981">
        <v>-2.0144051707897547E-3</v>
      </c>
    </row>
    <row r="982" spans="1:7" x14ac:dyDescent="0.2">
      <c r="A982" t="s">
        <v>1163</v>
      </c>
      <c r="B982">
        <v>23.66</v>
      </c>
      <c r="C982" s="105">
        <v>3.7264357737834347E-2</v>
      </c>
      <c r="E982" s="149">
        <v>44175</v>
      </c>
      <c r="F982" s="150">
        <v>6917.1</v>
      </c>
      <c r="G982">
        <v>4.4580622676580984E-3</v>
      </c>
    </row>
    <row r="983" spans="1:7" x14ac:dyDescent="0.2">
      <c r="A983" t="s">
        <v>1164</v>
      </c>
      <c r="B983">
        <v>23.58</v>
      </c>
      <c r="C983" s="105">
        <v>-3.3812341504649976E-3</v>
      </c>
      <c r="E983" s="149">
        <v>44174</v>
      </c>
      <c r="F983" s="150">
        <v>6965.4</v>
      </c>
      <c r="G983">
        <v>6.9826950600684204E-3</v>
      </c>
    </row>
    <row r="984" spans="1:7" x14ac:dyDescent="0.2">
      <c r="A984" t="s">
        <v>1165</v>
      </c>
      <c r="B984">
        <v>23.28</v>
      </c>
      <c r="C984" s="105">
        <v>-1.2722646310432451E-2</v>
      </c>
      <c r="E984" s="149">
        <v>44173</v>
      </c>
      <c r="F984" s="150">
        <v>6922.2</v>
      </c>
      <c r="G984">
        <v>-6.2020845895425702E-3</v>
      </c>
    </row>
    <row r="985" spans="1:7" x14ac:dyDescent="0.2">
      <c r="A985" t="s">
        <v>1166</v>
      </c>
      <c r="B985">
        <v>22.9</v>
      </c>
      <c r="C985" s="105">
        <v>-1.6323024054982926E-2</v>
      </c>
      <c r="E985" s="149">
        <v>44172</v>
      </c>
      <c r="F985" s="150">
        <v>6908.9</v>
      </c>
      <c r="G985">
        <v>-1.9213544826789434E-3</v>
      </c>
    </row>
    <row r="986" spans="1:7" x14ac:dyDescent="0.2">
      <c r="A986" t="s">
        <v>1167</v>
      </c>
      <c r="B986">
        <v>23.51</v>
      </c>
      <c r="C986" s="105">
        <v>2.6637554585152972E-2</v>
      </c>
      <c r="E986" s="149">
        <v>44169</v>
      </c>
      <c r="F986" s="150">
        <v>6865.3</v>
      </c>
      <c r="G986">
        <v>-6.3107006904137355E-3</v>
      </c>
    </row>
    <row r="987" spans="1:7" x14ac:dyDescent="0.2">
      <c r="A987" t="s">
        <v>1168</v>
      </c>
      <c r="B987">
        <v>23.52</v>
      </c>
      <c r="C987" s="105">
        <v>4.2535091450438152E-4</v>
      </c>
      <c r="E987" s="149">
        <v>44168</v>
      </c>
      <c r="F987" s="150">
        <v>6847.3</v>
      </c>
      <c r="G987">
        <v>-2.6218810539961838E-3</v>
      </c>
    </row>
    <row r="988" spans="1:7" x14ac:dyDescent="0.2">
      <c r="A988" t="s">
        <v>1169</v>
      </c>
      <c r="B988">
        <v>23.87</v>
      </c>
      <c r="C988" s="105">
        <v>1.4880952380952441E-2</v>
      </c>
      <c r="E988" s="149">
        <v>44167</v>
      </c>
      <c r="F988" s="150">
        <v>6811.3</v>
      </c>
      <c r="G988">
        <v>-5.25754677025981E-3</v>
      </c>
    </row>
    <row r="989" spans="1:7" x14ac:dyDescent="0.2">
      <c r="A989" t="s">
        <v>1170</v>
      </c>
      <c r="B989">
        <v>23.82</v>
      </c>
      <c r="C989" s="105">
        <v>-2.0946795140343822E-3</v>
      </c>
      <c r="E989" s="149">
        <v>44166</v>
      </c>
      <c r="F989" s="150">
        <v>6812.2</v>
      </c>
      <c r="G989">
        <v>1.3213336661131299E-4</v>
      </c>
    </row>
    <row r="990" spans="1:7" x14ac:dyDescent="0.2">
      <c r="A990" t="s">
        <v>1171</v>
      </c>
      <c r="B990">
        <v>22.99</v>
      </c>
      <c r="C990" s="105">
        <v>-3.4844668345927872E-2</v>
      </c>
      <c r="E990" s="149">
        <v>44165</v>
      </c>
      <c r="F990" s="150">
        <v>6742.1</v>
      </c>
      <c r="G990">
        <v>-1.0290361410410655E-2</v>
      </c>
    </row>
    <row r="991" spans="1:7" x14ac:dyDescent="0.2">
      <c r="A991" t="s">
        <v>1172</v>
      </c>
      <c r="B991">
        <v>23.09</v>
      </c>
      <c r="C991" s="105">
        <v>4.3497172683776173E-3</v>
      </c>
      <c r="E991" s="149">
        <v>44162</v>
      </c>
      <c r="F991" s="150">
        <v>6816.8</v>
      </c>
      <c r="G991">
        <v>1.1079633941946844E-2</v>
      </c>
    </row>
    <row r="992" spans="1:7" x14ac:dyDescent="0.2">
      <c r="A992" t="s">
        <v>1173</v>
      </c>
      <c r="B992">
        <v>23.33</v>
      </c>
      <c r="C992" s="105">
        <v>1.0394110004330812E-2</v>
      </c>
      <c r="E992" s="149">
        <v>44161</v>
      </c>
      <c r="F992" s="150">
        <v>6848.8</v>
      </c>
      <c r="G992">
        <v>4.6942847083675625E-3</v>
      </c>
    </row>
    <row r="993" spans="1:7" x14ac:dyDescent="0.2">
      <c r="A993" t="s">
        <v>1174</v>
      </c>
      <c r="B993">
        <v>23.78</v>
      </c>
      <c r="C993" s="105">
        <v>1.9288469781397467E-2</v>
      </c>
      <c r="E993" s="149">
        <v>44160</v>
      </c>
      <c r="F993" s="150">
        <v>6888.2</v>
      </c>
      <c r="G993">
        <v>5.7528326130124449E-3</v>
      </c>
    </row>
    <row r="994" spans="1:7" x14ac:dyDescent="0.2">
      <c r="A994" t="s">
        <v>1175</v>
      </c>
      <c r="B994">
        <v>24.17</v>
      </c>
      <c r="C994" s="105">
        <v>1.64003364171573E-2</v>
      </c>
      <c r="E994" s="149">
        <v>44159</v>
      </c>
      <c r="F994" s="150">
        <v>6855.5</v>
      </c>
      <c r="G994">
        <v>-4.7472489184402049E-3</v>
      </c>
    </row>
    <row r="995" spans="1:7" x14ac:dyDescent="0.2">
      <c r="A995" t="s">
        <v>1176</v>
      </c>
      <c r="B995">
        <v>23.4</v>
      </c>
      <c r="C995" s="105">
        <v>-3.1857674803475511E-2</v>
      </c>
      <c r="E995" s="149">
        <v>44158</v>
      </c>
      <c r="F995" s="150">
        <v>6841.1</v>
      </c>
      <c r="G995">
        <v>-2.1005032455691979E-3</v>
      </c>
    </row>
    <row r="996" spans="1:7" x14ac:dyDescent="0.2">
      <c r="A996" t="s">
        <v>1177</v>
      </c>
      <c r="B996">
        <v>23.88</v>
      </c>
      <c r="C996" s="105">
        <v>2.0512820512820534E-2</v>
      </c>
      <c r="E996" s="149">
        <v>44155</v>
      </c>
      <c r="F996" s="150">
        <v>6739.9</v>
      </c>
      <c r="G996">
        <v>-1.4792942655421018E-2</v>
      </c>
    </row>
    <row r="997" spans="1:7" x14ac:dyDescent="0.2">
      <c r="A997" t="s">
        <v>1178</v>
      </c>
      <c r="B997">
        <v>23.79</v>
      </c>
      <c r="C997" s="105">
        <v>-3.7688442211055218E-3</v>
      </c>
      <c r="E997" s="149">
        <v>44154</v>
      </c>
      <c r="F997" s="150">
        <v>6742.7</v>
      </c>
      <c r="G997">
        <v>4.1543643080760577E-4</v>
      </c>
    </row>
    <row r="998" spans="1:7" x14ac:dyDescent="0.2">
      <c r="A998" t="s">
        <v>1179</v>
      </c>
      <c r="B998">
        <v>24.05</v>
      </c>
      <c r="C998" s="105">
        <v>1.0928961748633946E-2</v>
      </c>
      <c r="E998" s="149">
        <v>44153</v>
      </c>
      <c r="F998" s="150">
        <v>6726.5</v>
      </c>
      <c r="G998">
        <v>-2.4025983656398501E-3</v>
      </c>
    </row>
    <row r="999" spans="1:7" x14ac:dyDescent="0.2">
      <c r="A999" t="s">
        <v>1180</v>
      </c>
      <c r="B999">
        <v>24.06</v>
      </c>
      <c r="C999" s="105">
        <v>4.1580041580033304E-4</v>
      </c>
      <c r="E999" s="149">
        <v>44152</v>
      </c>
      <c r="F999" s="150">
        <v>6697.8</v>
      </c>
      <c r="G999">
        <v>-4.2667063108600039E-3</v>
      </c>
    </row>
    <row r="1000" spans="1:7" x14ac:dyDescent="0.2">
      <c r="A1000" t="s">
        <v>1181</v>
      </c>
      <c r="B1000">
        <v>25.21</v>
      </c>
      <c r="C1000" s="105">
        <v>4.7797173732335919E-2</v>
      </c>
      <c r="E1000" s="149">
        <v>44151</v>
      </c>
      <c r="F1000" s="150">
        <v>6687</v>
      </c>
      <c r="G1000">
        <v>-1.612469766191911E-3</v>
      </c>
    </row>
    <row r="1001" spans="1:7" x14ac:dyDescent="0.2">
      <c r="A1001" t="s">
        <v>1182</v>
      </c>
      <c r="B1001">
        <v>24.87</v>
      </c>
      <c r="C1001" s="105">
        <v>-1.3486711622372069E-2</v>
      </c>
      <c r="E1001" s="149">
        <v>44148</v>
      </c>
      <c r="F1001" s="150">
        <v>6609.3</v>
      </c>
      <c r="G1001">
        <v>-1.1619560340960044E-2</v>
      </c>
    </row>
    <row r="1002" spans="1:7" x14ac:dyDescent="0.2">
      <c r="A1002" t="s">
        <v>1183</v>
      </c>
      <c r="B1002">
        <v>24.91</v>
      </c>
      <c r="C1002" s="105">
        <v>1.6083634901487393E-3</v>
      </c>
      <c r="E1002" s="149">
        <v>44147</v>
      </c>
      <c r="F1002" s="150">
        <v>6619.4</v>
      </c>
      <c r="G1002">
        <v>1.5281497284129113E-3</v>
      </c>
    </row>
    <row r="1003" spans="1:7" x14ac:dyDescent="0.2">
      <c r="A1003" t="s">
        <v>1184</v>
      </c>
      <c r="B1003">
        <v>24.94</v>
      </c>
      <c r="C1003" s="105">
        <v>1.2043356081895278E-3</v>
      </c>
      <c r="E1003" s="149">
        <v>44146</v>
      </c>
      <c r="F1003" s="150">
        <v>6651.1</v>
      </c>
      <c r="G1003">
        <v>4.7889536816026722E-3</v>
      </c>
    </row>
    <row r="1004" spans="1:7" x14ac:dyDescent="0.2">
      <c r="A1004" t="s">
        <v>1185</v>
      </c>
      <c r="B1004">
        <v>24.76</v>
      </c>
      <c r="C1004" s="105">
        <v>-7.217321571772242E-3</v>
      </c>
      <c r="E1004" s="149">
        <v>44145</v>
      </c>
      <c r="F1004" s="150">
        <v>6544</v>
      </c>
      <c r="G1004">
        <v>-1.6102599569995994E-2</v>
      </c>
    </row>
    <row r="1005" spans="1:7" x14ac:dyDescent="0.2">
      <c r="A1005" t="s">
        <v>1186</v>
      </c>
      <c r="B1005">
        <v>26.38</v>
      </c>
      <c r="C1005" s="105">
        <v>6.5428109854604094E-2</v>
      </c>
      <c r="E1005" s="149">
        <v>44144</v>
      </c>
      <c r="F1005" s="150">
        <v>6515.7</v>
      </c>
      <c r="G1005">
        <v>-4.3245721271393924E-3</v>
      </c>
    </row>
    <row r="1006" spans="1:7" x14ac:dyDescent="0.2">
      <c r="A1006" t="s">
        <v>1187</v>
      </c>
      <c r="B1006">
        <v>25.78</v>
      </c>
      <c r="C1006" s="105">
        <v>-2.2744503411675433E-2</v>
      </c>
      <c r="E1006" s="149">
        <v>44141</v>
      </c>
      <c r="F1006" s="150">
        <v>6395</v>
      </c>
      <c r="G1006">
        <v>-1.8524487008302993E-2</v>
      </c>
    </row>
    <row r="1007" spans="1:7" x14ac:dyDescent="0.2">
      <c r="A1007" t="s">
        <v>1188</v>
      </c>
      <c r="B1007">
        <v>25.84</v>
      </c>
      <c r="C1007" s="105">
        <v>2.3273855702094148E-3</v>
      </c>
      <c r="E1007" s="149">
        <v>44140</v>
      </c>
      <c r="F1007" s="150">
        <v>6344</v>
      </c>
      <c r="G1007">
        <v>-7.9749804534792815E-3</v>
      </c>
    </row>
    <row r="1008" spans="1:7" x14ac:dyDescent="0.2">
      <c r="A1008" t="s">
        <v>1189</v>
      </c>
      <c r="B1008">
        <v>25.54</v>
      </c>
      <c r="C1008" s="105">
        <v>-1.1609907120743062E-2</v>
      </c>
      <c r="E1008" s="149">
        <v>44139</v>
      </c>
      <c r="F1008" s="150">
        <v>6265</v>
      </c>
      <c r="G1008">
        <v>-1.2452711223203027E-2</v>
      </c>
    </row>
    <row r="1009" spans="1:7" x14ac:dyDescent="0.2">
      <c r="A1009" t="s">
        <v>1190</v>
      </c>
      <c r="B1009">
        <v>24.91</v>
      </c>
      <c r="C1009" s="105">
        <v>-2.4667188723570831E-2</v>
      </c>
      <c r="E1009" s="149">
        <v>44138</v>
      </c>
      <c r="F1009" s="150">
        <v>6262.8</v>
      </c>
      <c r="G1009">
        <v>-3.5115722266557353E-4</v>
      </c>
    </row>
    <row r="1010" spans="1:7" x14ac:dyDescent="0.2">
      <c r="A1010" t="s">
        <v>1191</v>
      </c>
      <c r="B1010">
        <v>24.33</v>
      </c>
      <c r="C1010" s="105">
        <v>-2.3283821758330062E-2</v>
      </c>
      <c r="E1010" s="149">
        <v>44137</v>
      </c>
      <c r="F1010" s="150">
        <v>6147.4</v>
      </c>
      <c r="G1010">
        <v>-1.8426263013348747E-2</v>
      </c>
    </row>
    <row r="1011" spans="1:7" x14ac:dyDescent="0.2">
      <c r="A1011" t="s">
        <v>1192</v>
      </c>
      <c r="B1011">
        <v>24.89</v>
      </c>
      <c r="C1011" s="105">
        <v>2.3016851623510165E-2</v>
      </c>
      <c r="E1011" s="149">
        <v>44134</v>
      </c>
      <c r="F1011" s="150">
        <v>6133.2</v>
      </c>
      <c r="G1011">
        <v>-2.3099196408237336E-3</v>
      </c>
    </row>
    <row r="1012" spans="1:7" x14ac:dyDescent="0.2">
      <c r="A1012" t="s">
        <v>1193</v>
      </c>
      <c r="B1012">
        <v>24.96</v>
      </c>
      <c r="C1012" s="105">
        <v>2.8123744475693161E-3</v>
      </c>
      <c r="E1012" s="149">
        <v>44133</v>
      </c>
      <c r="F1012" s="150">
        <v>6168</v>
      </c>
      <c r="G1012">
        <v>5.6740363920955101E-3</v>
      </c>
    </row>
    <row r="1013" spans="1:7" x14ac:dyDescent="0.2">
      <c r="A1013" t="s">
        <v>1194</v>
      </c>
      <c r="B1013">
        <v>25</v>
      </c>
      <c r="C1013" s="105">
        <v>1.6025641025640682E-3</v>
      </c>
      <c r="E1013" s="149">
        <v>44132</v>
      </c>
      <c r="F1013" s="150">
        <v>6261.8</v>
      </c>
      <c r="G1013">
        <v>1.5207522697795101E-2</v>
      </c>
    </row>
    <row r="1014" spans="1:7" x14ac:dyDescent="0.2">
      <c r="A1014" t="s">
        <v>1195</v>
      </c>
      <c r="B1014">
        <v>24.37</v>
      </c>
      <c r="C1014" s="105">
        <v>-2.5199999999999959E-2</v>
      </c>
      <c r="E1014" s="149">
        <v>44131</v>
      </c>
      <c r="F1014" s="150">
        <v>6247.2</v>
      </c>
      <c r="G1014">
        <v>-2.3315979430835166E-3</v>
      </c>
    </row>
    <row r="1015" spans="1:7" x14ac:dyDescent="0.2">
      <c r="A1015" t="s">
        <v>1196</v>
      </c>
      <c r="B1015">
        <v>24.9</v>
      </c>
      <c r="C1015" s="105">
        <v>2.1748050882232153E-2</v>
      </c>
      <c r="E1015" s="149">
        <v>44130</v>
      </c>
      <c r="F1015" s="150">
        <v>6357.3</v>
      </c>
      <c r="G1015">
        <v>1.7623895505186383E-2</v>
      </c>
    </row>
    <row r="1016" spans="1:7" x14ac:dyDescent="0.2">
      <c r="A1016" t="s">
        <v>1197</v>
      </c>
      <c r="B1016">
        <v>25.65</v>
      </c>
      <c r="C1016" s="105">
        <v>3.0120481927710847E-2</v>
      </c>
      <c r="E1016" s="149">
        <v>44127</v>
      </c>
      <c r="F1016" s="150">
        <v>6373.7</v>
      </c>
      <c r="G1016">
        <v>2.5797115127490656E-3</v>
      </c>
    </row>
    <row r="1017" spans="1:7" x14ac:dyDescent="0.2">
      <c r="A1017" t="s">
        <v>1198</v>
      </c>
      <c r="B1017">
        <v>25.86</v>
      </c>
      <c r="C1017" s="105">
        <v>8.1871345029240102E-3</v>
      </c>
      <c r="E1017" s="149">
        <v>44126</v>
      </c>
      <c r="F1017" s="150">
        <v>6383.7</v>
      </c>
      <c r="G1017">
        <v>1.5689473931939063E-3</v>
      </c>
    </row>
    <row r="1018" spans="1:7" x14ac:dyDescent="0.2">
      <c r="A1018" t="s">
        <v>1199</v>
      </c>
      <c r="B1018">
        <v>25.78</v>
      </c>
      <c r="C1018" s="105">
        <v>-3.0935808197988515E-3</v>
      </c>
      <c r="E1018" s="149">
        <v>44125</v>
      </c>
      <c r="F1018" s="150">
        <v>6403.1</v>
      </c>
      <c r="G1018">
        <v>3.0389899274716145E-3</v>
      </c>
    </row>
    <row r="1019" spans="1:7" x14ac:dyDescent="0.2">
      <c r="A1019" t="s">
        <v>1200</v>
      </c>
      <c r="B1019">
        <v>26.37</v>
      </c>
      <c r="C1019" s="105">
        <v>2.2885958107059731E-2</v>
      </c>
      <c r="E1019" s="149">
        <v>44124</v>
      </c>
      <c r="F1019" s="150">
        <v>6396.8</v>
      </c>
      <c r="G1019">
        <v>-9.8389842420080619E-4</v>
      </c>
    </row>
    <row r="1020" spans="1:7" x14ac:dyDescent="0.2">
      <c r="A1020" t="s">
        <v>1201</v>
      </c>
      <c r="B1020">
        <v>26.77</v>
      </c>
      <c r="C1020" s="105">
        <v>1.5168752370117503E-2</v>
      </c>
      <c r="E1020" s="149">
        <v>44123</v>
      </c>
      <c r="F1020" s="150">
        <v>6435.6</v>
      </c>
      <c r="G1020">
        <v>6.0655327663832201E-3</v>
      </c>
    </row>
    <row r="1021" spans="1:7" x14ac:dyDescent="0.2">
      <c r="A1021" t="s">
        <v>1202</v>
      </c>
      <c r="B1021">
        <v>26.74</v>
      </c>
      <c r="C1021" s="105">
        <v>-1.1206574523721007E-3</v>
      </c>
      <c r="E1021" s="149">
        <v>44120</v>
      </c>
      <c r="F1021" s="150">
        <v>6385</v>
      </c>
      <c r="G1021">
        <v>-7.8625147616384426E-3</v>
      </c>
    </row>
    <row r="1022" spans="1:7" x14ac:dyDescent="0.2">
      <c r="A1022" t="s">
        <v>1203</v>
      </c>
      <c r="B1022">
        <v>26.38</v>
      </c>
      <c r="C1022" s="105">
        <v>-1.3462976813762134E-2</v>
      </c>
      <c r="E1022" s="149">
        <v>44119</v>
      </c>
      <c r="F1022" s="150">
        <v>6414.2</v>
      </c>
      <c r="G1022">
        <v>4.5732184808143801E-3</v>
      </c>
    </row>
    <row r="1023" spans="1:7" x14ac:dyDescent="0.2">
      <c r="A1023" t="s">
        <v>1204</v>
      </c>
      <c r="B1023">
        <v>27.1</v>
      </c>
      <c r="C1023" s="105">
        <v>2.7293404094010706E-2</v>
      </c>
      <c r="E1023" s="149">
        <v>44118</v>
      </c>
      <c r="F1023" s="150">
        <v>6387.4</v>
      </c>
      <c r="G1023">
        <v>-4.1782295531789127E-3</v>
      </c>
    </row>
    <row r="1024" spans="1:7" x14ac:dyDescent="0.2">
      <c r="A1024" t="s">
        <v>1205</v>
      </c>
      <c r="B1024">
        <v>26.32</v>
      </c>
      <c r="C1024" s="105">
        <v>-2.8782287822878269E-2</v>
      </c>
      <c r="E1024" s="149">
        <v>44117</v>
      </c>
      <c r="F1024" s="150">
        <v>6400.2</v>
      </c>
      <c r="G1024">
        <v>2.0039452672449168E-3</v>
      </c>
    </row>
    <row r="1025" spans="1:7" x14ac:dyDescent="0.2">
      <c r="A1025" t="s">
        <v>1206</v>
      </c>
      <c r="B1025">
        <v>26.25</v>
      </c>
      <c r="C1025" s="105">
        <v>-2.6595744680851172E-3</v>
      </c>
      <c r="E1025" s="149">
        <v>44116</v>
      </c>
      <c r="F1025" s="150">
        <v>6343.1</v>
      </c>
      <c r="G1025">
        <v>-8.9215962001186616E-3</v>
      </c>
    </row>
    <row r="1026" spans="1:7" x14ac:dyDescent="0.2">
      <c r="A1026" t="s">
        <v>1207</v>
      </c>
      <c r="B1026">
        <v>25.96</v>
      </c>
      <c r="C1026" s="105">
        <v>-1.1047619047619014E-2</v>
      </c>
      <c r="E1026" s="149">
        <v>44113</v>
      </c>
      <c r="F1026" s="150">
        <v>6312.5</v>
      </c>
      <c r="G1026">
        <v>-4.8241396162760101E-3</v>
      </c>
    </row>
    <row r="1027" spans="1:7" x14ac:dyDescent="0.2">
      <c r="A1027" t="s">
        <v>1208</v>
      </c>
      <c r="B1027">
        <v>26.29</v>
      </c>
      <c r="C1027" s="105">
        <v>1.2711864406779594E-2</v>
      </c>
      <c r="E1027" s="149">
        <v>44112</v>
      </c>
      <c r="F1027" s="150">
        <v>6305.8</v>
      </c>
      <c r="G1027">
        <v>-1.0613861386138325E-3</v>
      </c>
    </row>
    <row r="1028" spans="1:7" x14ac:dyDescent="0.2">
      <c r="A1028" t="s">
        <v>1209</v>
      </c>
      <c r="B1028">
        <v>26.46</v>
      </c>
      <c r="C1028" s="105">
        <v>6.4663370102701293E-3</v>
      </c>
      <c r="E1028" s="149">
        <v>44111</v>
      </c>
      <c r="F1028" s="150">
        <v>6239.6</v>
      </c>
      <c r="G1028">
        <v>-1.0498271432649278E-2</v>
      </c>
    </row>
    <row r="1029" spans="1:7" x14ac:dyDescent="0.2">
      <c r="A1029" t="s">
        <v>1210</v>
      </c>
      <c r="B1029">
        <v>25.31</v>
      </c>
      <c r="C1029" s="105">
        <v>-4.346182917611497E-2</v>
      </c>
      <c r="E1029" s="149">
        <v>44110</v>
      </c>
      <c r="F1029" s="150">
        <v>6164.2</v>
      </c>
      <c r="G1029">
        <v>-1.2084107955638268E-2</v>
      </c>
    </row>
    <row r="1030" spans="1:7" x14ac:dyDescent="0.2">
      <c r="A1030" t="s">
        <v>1211</v>
      </c>
      <c r="B1030">
        <v>25.01</v>
      </c>
      <c r="C1030" s="105">
        <v>-1.1853022520742678E-2</v>
      </c>
      <c r="E1030" s="149">
        <v>44109</v>
      </c>
      <c r="F1030" s="150">
        <v>6135.1</v>
      </c>
      <c r="G1030">
        <v>-4.7208072418155568E-3</v>
      </c>
    </row>
    <row r="1031" spans="1:7" x14ac:dyDescent="0.2">
      <c r="A1031" t="s">
        <v>1212</v>
      </c>
      <c r="B1031">
        <v>24.57</v>
      </c>
      <c r="C1031" s="105">
        <v>-1.7592962814874099E-2</v>
      </c>
      <c r="E1031" s="149">
        <v>44106</v>
      </c>
      <c r="F1031" s="150">
        <v>5983.2</v>
      </c>
      <c r="G1031">
        <v>-2.4759172629623075E-2</v>
      </c>
    </row>
    <row r="1032" spans="1:7" x14ac:dyDescent="0.2">
      <c r="A1032" t="s">
        <v>1213</v>
      </c>
      <c r="B1032">
        <v>24.72</v>
      </c>
      <c r="C1032" s="105">
        <v>6.1050061050060469E-3</v>
      </c>
      <c r="E1032" s="149">
        <v>44105</v>
      </c>
      <c r="F1032" s="150">
        <v>6069.4</v>
      </c>
      <c r="G1032">
        <v>1.4407006284262572E-2</v>
      </c>
    </row>
    <row r="1033" spans="1:7" x14ac:dyDescent="0.2">
      <c r="A1033" t="s">
        <v>1214</v>
      </c>
      <c r="B1033">
        <v>24.03</v>
      </c>
      <c r="C1033" s="105">
        <v>-2.7912621359223209E-2</v>
      </c>
      <c r="E1033" s="149">
        <v>44104</v>
      </c>
      <c r="F1033" s="150">
        <v>6009.3</v>
      </c>
      <c r="G1033">
        <v>-9.9021320064585396E-3</v>
      </c>
    </row>
    <row r="1034" spans="1:7" x14ac:dyDescent="0.2">
      <c r="A1034" t="s">
        <v>1215</v>
      </c>
      <c r="B1034">
        <v>24.66</v>
      </c>
      <c r="C1034" s="105">
        <v>2.6217228464419432E-2</v>
      </c>
      <c r="E1034" s="149">
        <v>44103</v>
      </c>
      <c r="F1034" s="150">
        <v>6141.5</v>
      </c>
      <c r="G1034">
        <v>2.1999234519827569E-2</v>
      </c>
    </row>
    <row r="1035" spans="1:7" x14ac:dyDescent="0.2">
      <c r="A1035" t="s">
        <v>1216</v>
      </c>
      <c r="B1035">
        <v>24.34</v>
      </c>
      <c r="C1035" s="105">
        <v>-1.2976480129764812E-2</v>
      </c>
      <c r="E1035" s="149">
        <v>44102</v>
      </c>
      <c r="F1035" s="150">
        <v>6134.9</v>
      </c>
      <c r="G1035">
        <v>-1.0746560286575533E-3</v>
      </c>
    </row>
    <row r="1036" spans="1:7" x14ac:dyDescent="0.2">
      <c r="A1036" t="s">
        <v>1217</v>
      </c>
      <c r="B1036">
        <v>24.3</v>
      </c>
      <c r="C1036" s="105">
        <v>-1.6433853738701376E-3</v>
      </c>
      <c r="E1036" s="149">
        <v>44099</v>
      </c>
      <c r="F1036" s="150">
        <v>6140.5</v>
      </c>
      <c r="G1036">
        <v>9.1281031475661607E-4</v>
      </c>
    </row>
    <row r="1037" spans="1:7" x14ac:dyDescent="0.2">
      <c r="A1037" t="s">
        <v>1218</v>
      </c>
      <c r="B1037">
        <v>24.26</v>
      </c>
      <c r="C1037" s="105">
        <v>-1.6460905349793887E-3</v>
      </c>
      <c r="E1037" s="149">
        <v>44098</v>
      </c>
      <c r="F1037" s="150">
        <v>6056.5</v>
      </c>
      <c r="G1037">
        <v>-1.3679667779496784E-2</v>
      </c>
    </row>
    <row r="1038" spans="1:7" x14ac:dyDescent="0.2">
      <c r="A1038" t="s">
        <v>1219</v>
      </c>
      <c r="B1038">
        <v>24.79</v>
      </c>
      <c r="C1038" s="105">
        <v>2.1846661170651177E-2</v>
      </c>
      <c r="E1038" s="149">
        <v>44097</v>
      </c>
      <c r="F1038" s="150">
        <v>6111.3</v>
      </c>
      <c r="G1038">
        <v>9.0481301081483008E-3</v>
      </c>
    </row>
    <row r="1039" spans="1:7" x14ac:dyDescent="0.2">
      <c r="A1039" t="s">
        <v>1220</v>
      </c>
      <c r="B1039">
        <v>24.67</v>
      </c>
      <c r="C1039" s="105">
        <v>-4.8406615570793649E-3</v>
      </c>
      <c r="E1039" s="149">
        <v>44096</v>
      </c>
      <c r="F1039" s="150">
        <v>5973.5</v>
      </c>
      <c r="G1039">
        <v>-2.2548393958732215E-2</v>
      </c>
    </row>
    <row r="1040" spans="1:7" x14ac:dyDescent="0.2">
      <c r="A1040" t="s">
        <v>1221</v>
      </c>
      <c r="B1040">
        <v>24.65</v>
      </c>
      <c r="C1040" s="105">
        <v>-8.1070125658707433E-4</v>
      </c>
      <c r="E1040" s="149">
        <v>44095</v>
      </c>
      <c r="F1040" s="150">
        <v>6013.5</v>
      </c>
      <c r="G1040">
        <v>6.6962417343266094E-3</v>
      </c>
    </row>
    <row r="1041" spans="1:7" x14ac:dyDescent="0.2">
      <c r="A1041" t="s">
        <v>1222</v>
      </c>
      <c r="B1041">
        <v>25.01</v>
      </c>
      <c r="C1041" s="105">
        <v>1.4604462474645152E-2</v>
      </c>
      <c r="E1041" s="149">
        <v>44092</v>
      </c>
      <c r="F1041" s="150">
        <v>6057.6</v>
      </c>
      <c r="G1041">
        <v>7.3334996258419168E-3</v>
      </c>
    </row>
    <row r="1042" spans="1:7" x14ac:dyDescent="0.2">
      <c r="A1042" t="s">
        <v>1223</v>
      </c>
      <c r="B1042">
        <v>24.76</v>
      </c>
      <c r="C1042" s="105">
        <v>-9.996001599360255E-3</v>
      </c>
      <c r="E1042" s="149">
        <v>44091</v>
      </c>
      <c r="F1042" s="150">
        <v>6069.2</v>
      </c>
      <c r="G1042">
        <v>1.9149498151082036E-3</v>
      </c>
    </row>
    <row r="1043" spans="1:7" x14ac:dyDescent="0.2">
      <c r="A1043" t="s">
        <v>1224</v>
      </c>
      <c r="B1043">
        <v>26.76</v>
      </c>
      <c r="C1043" s="105">
        <v>8.0775444264943458E-2</v>
      </c>
      <c r="E1043" s="149">
        <v>44090</v>
      </c>
      <c r="F1043" s="150">
        <v>6146.9</v>
      </c>
      <c r="G1043">
        <v>1.2802346272984879E-2</v>
      </c>
    </row>
    <row r="1044" spans="1:7" x14ac:dyDescent="0.2">
      <c r="A1044" t="s">
        <v>1225</v>
      </c>
      <c r="B1044">
        <v>25.66</v>
      </c>
      <c r="C1044" s="105">
        <v>-4.110612855007479E-2</v>
      </c>
      <c r="E1044" s="149">
        <v>44089</v>
      </c>
      <c r="F1044" s="150">
        <v>6079.3</v>
      </c>
      <c r="G1044">
        <v>-1.0997413330296484E-2</v>
      </c>
    </row>
    <row r="1045" spans="1:7" x14ac:dyDescent="0.2">
      <c r="A1045" t="s">
        <v>1226</v>
      </c>
      <c r="B1045">
        <v>25.39</v>
      </c>
      <c r="C1045" s="105">
        <v>-1.052221356196413E-2</v>
      </c>
      <c r="E1045" s="149">
        <v>44088</v>
      </c>
      <c r="F1045" s="150">
        <v>6078.5</v>
      </c>
      <c r="G1045">
        <v>-1.3159409800473441E-4</v>
      </c>
    </row>
    <row r="1046" spans="1:7" x14ac:dyDescent="0.2">
      <c r="A1046" t="s">
        <v>1227</v>
      </c>
      <c r="B1046">
        <v>26.06</v>
      </c>
      <c r="C1046" s="105">
        <v>2.638834186687665E-2</v>
      </c>
      <c r="E1046" s="149">
        <v>44085</v>
      </c>
      <c r="F1046" s="150">
        <v>6038.9</v>
      </c>
      <c r="G1046">
        <v>-6.5147651558773324E-3</v>
      </c>
    </row>
    <row r="1047" spans="1:7" x14ac:dyDescent="0.2">
      <c r="A1047" t="s">
        <v>1228</v>
      </c>
      <c r="B1047">
        <v>26.11</v>
      </c>
      <c r="C1047" s="105">
        <v>1.9186492709133045E-3</v>
      </c>
      <c r="E1047" s="149">
        <v>44084</v>
      </c>
      <c r="F1047" s="150">
        <v>6090</v>
      </c>
      <c r="G1047">
        <v>8.4618059580387761E-3</v>
      </c>
    </row>
    <row r="1048" spans="1:7" x14ac:dyDescent="0.2">
      <c r="A1048" t="s">
        <v>1229</v>
      </c>
      <c r="B1048">
        <v>25.6</v>
      </c>
      <c r="C1048" s="105">
        <v>-1.9532746074300958E-2</v>
      </c>
      <c r="E1048" s="149">
        <v>44083</v>
      </c>
      <c r="F1048" s="150">
        <v>6058.9</v>
      </c>
      <c r="G1048">
        <v>-5.1067323481117184E-3</v>
      </c>
    </row>
    <row r="1049" spans="1:7" x14ac:dyDescent="0.2">
      <c r="A1049" t="s">
        <v>1230</v>
      </c>
      <c r="B1049">
        <v>26.1</v>
      </c>
      <c r="C1049" s="105">
        <v>1.953125E-2</v>
      </c>
      <c r="E1049" s="149">
        <v>44082</v>
      </c>
      <c r="F1049" s="150">
        <v>6190.2</v>
      </c>
      <c r="G1049">
        <v>2.1670600273977155E-2</v>
      </c>
    </row>
    <row r="1050" spans="1:7" x14ac:dyDescent="0.2">
      <c r="A1050" t="s">
        <v>1231</v>
      </c>
      <c r="B1050">
        <v>26.13</v>
      </c>
      <c r="C1050" s="105">
        <v>1.1494252873562292E-3</v>
      </c>
      <c r="E1050" s="149">
        <v>44081</v>
      </c>
      <c r="F1050" s="150">
        <v>6129.9</v>
      </c>
      <c r="G1050">
        <v>-9.741203838325125E-3</v>
      </c>
    </row>
    <row r="1051" spans="1:7" x14ac:dyDescent="0.2">
      <c r="A1051" t="s">
        <v>1232</v>
      </c>
      <c r="B1051">
        <v>26.11</v>
      </c>
      <c r="C1051" s="105">
        <v>-7.654037504783611E-4</v>
      </c>
      <c r="E1051" s="149">
        <v>44078</v>
      </c>
      <c r="F1051" s="150">
        <v>6108.8</v>
      </c>
      <c r="G1051">
        <v>-3.4421442437885539E-3</v>
      </c>
    </row>
    <row r="1052" spans="1:7" x14ac:dyDescent="0.2">
      <c r="A1052" t="s">
        <v>1233</v>
      </c>
      <c r="B1052">
        <v>27.78</v>
      </c>
      <c r="C1052" s="105">
        <v>6.3960168517809335E-2</v>
      </c>
      <c r="E1052" s="149">
        <v>44077</v>
      </c>
      <c r="F1052" s="150">
        <v>6301</v>
      </c>
      <c r="G1052">
        <v>3.1462807752750101E-2</v>
      </c>
    </row>
    <row r="1053" spans="1:7" x14ac:dyDescent="0.2">
      <c r="A1053" t="s">
        <v>1234</v>
      </c>
      <c r="B1053">
        <v>27.27</v>
      </c>
      <c r="C1053" s="105">
        <v>-1.8358531317494656E-2</v>
      </c>
      <c r="E1053" s="149">
        <v>44076</v>
      </c>
      <c r="F1053" s="150">
        <v>6251.8</v>
      </c>
      <c r="G1053">
        <v>-7.8082843993016694E-3</v>
      </c>
    </row>
    <row r="1054" spans="1:7" x14ac:dyDescent="0.2">
      <c r="A1054" t="s">
        <v>1235</v>
      </c>
      <c r="B1054">
        <v>25.82</v>
      </c>
      <c r="C1054" s="105">
        <v>-5.3171983865053146E-2</v>
      </c>
      <c r="E1054" s="149">
        <v>44075</v>
      </c>
      <c r="F1054" s="150">
        <v>6143.2</v>
      </c>
      <c r="G1054">
        <v>-1.7370997152820044E-2</v>
      </c>
    </row>
    <row r="1055" spans="1:7" x14ac:dyDescent="0.2">
      <c r="A1055" t="s">
        <v>1236</v>
      </c>
      <c r="B1055">
        <v>25.71</v>
      </c>
      <c r="C1055" s="105">
        <v>-4.2602633617350666E-3</v>
      </c>
      <c r="E1055" s="149">
        <v>44074</v>
      </c>
      <c r="F1055" s="150">
        <v>6245.9</v>
      </c>
      <c r="G1055">
        <v>1.6717671571819217E-2</v>
      </c>
    </row>
    <row r="1056" spans="1:7" x14ac:dyDescent="0.2">
      <c r="A1056" t="s">
        <v>1237</v>
      </c>
      <c r="B1056">
        <v>25.88</v>
      </c>
      <c r="C1056" s="105">
        <v>6.6122131466354785E-3</v>
      </c>
      <c r="E1056" s="149">
        <v>44071</v>
      </c>
      <c r="F1056" s="150">
        <v>6260.8</v>
      </c>
      <c r="G1056">
        <v>2.3855649305945573E-3</v>
      </c>
    </row>
    <row r="1057" spans="1:7" x14ac:dyDescent="0.2">
      <c r="A1057" t="s">
        <v>1238</v>
      </c>
      <c r="B1057">
        <v>26.99</v>
      </c>
      <c r="C1057" s="105">
        <v>4.2890262751159175E-2</v>
      </c>
      <c r="E1057" s="149">
        <v>44070</v>
      </c>
      <c r="F1057" s="150">
        <v>6310.6</v>
      </c>
      <c r="G1057">
        <v>7.9542550472783326E-3</v>
      </c>
    </row>
    <row r="1058" spans="1:7" x14ac:dyDescent="0.2">
      <c r="A1058" t="s">
        <v>1239</v>
      </c>
      <c r="B1058">
        <v>26.15</v>
      </c>
      <c r="C1058" s="105">
        <v>-3.1122638014079284E-2</v>
      </c>
      <c r="E1058" s="149">
        <v>44069</v>
      </c>
      <c r="F1058" s="150">
        <v>6294.5</v>
      </c>
      <c r="G1058">
        <v>-2.5512629543942515E-3</v>
      </c>
    </row>
    <row r="1059" spans="1:7" x14ac:dyDescent="0.2">
      <c r="A1059" t="s">
        <v>1240</v>
      </c>
      <c r="B1059">
        <v>26.64</v>
      </c>
      <c r="C1059" s="105">
        <v>1.8738049713193195E-2</v>
      </c>
      <c r="E1059" s="149">
        <v>44068</v>
      </c>
      <c r="F1059" s="150">
        <v>6332</v>
      </c>
      <c r="G1059">
        <v>5.9575820160457545E-3</v>
      </c>
    </row>
    <row r="1060" spans="1:7" x14ac:dyDescent="0.2">
      <c r="A1060" t="s">
        <v>1241</v>
      </c>
      <c r="B1060">
        <v>27.03</v>
      </c>
      <c r="C1060" s="105">
        <v>1.463963963963966E-2</v>
      </c>
      <c r="E1060" s="149">
        <v>44067</v>
      </c>
      <c r="F1060" s="150">
        <v>6300.3</v>
      </c>
      <c r="G1060">
        <v>-5.0063171193935278E-3</v>
      </c>
    </row>
    <row r="1061" spans="1:7" x14ac:dyDescent="0.2">
      <c r="A1061" t="s">
        <v>1242</v>
      </c>
      <c r="B1061">
        <v>25.68</v>
      </c>
      <c r="C1061" s="105">
        <v>-4.9944506104328573E-2</v>
      </c>
      <c r="E1061" s="149">
        <v>44064</v>
      </c>
      <c r="F1061" s="150">
        <v>6270.7</v>
      </c>
      <c r="G1061">
        <v>-4.6981889751282263E-3</v>
      </c>
    </row>
    <row r="1062" spans="1:7" x14ac:dyDescent="0.2">
      <c r="A1062" t="s">
        <v>1243</v>
      </c>
      <c r="B1062">
        <v>26.56</v>
      </c>
      <c r="C1062" s="105">
        <v>3.4267912772585632E-2</v>
      </c>
      <c r="E1062" s="149">
        <v>44063</v>
      </c>
      <c r="F1062" s="150">
        <v>6271.7</v>
      </c>
      <c r="G1062">
        <v>1.5947182930135391E-4</v>
      </c>
    </row>
    <row r="1063" spans="1:7" x14ac:dyDescent="0.2">
      <c r="A1063" t="s">
        <v>1244</v>
      </c>
      <c r="B1063">
        <v>25.8</v>
      </c>
      <c r="C1063" s="105">
        <v>-2.8614457831325227E-2</v>
      </c>
      <c r="E1063" s="149">
        <v>44062</v>
      </c>
      <c r="F1063" s="150">
        <v>6314.1</v>
      </c>
      <c r="G1063">
        <v>6.7605274486982076E-3</v>
      </c>
    </row>
    <row r="1064" spans="1:7" x14ac:dyDescent="0.2">
      <c r="A1064" t="s">
        <v>1245</v>
      </c>
      <c r="B1064">
        <v>25.59</v>
      </c>
      <c r="C1064" s="105">
        <v>-8.1395348837209631E-3</v>
      </c>
      <c r="E1064" s="149">
        <v>44061</v>
      </c>
      <c r="F1064" s="150">
        <v>6268.7</v>
      </c>
      <c r="G1064">
        <v>-7.1902567270078939E-3</v>
      </c>
    </row>
    <row r="1065" spans="1:7" x14ac:dyDescent="0.2">
      <c r="A1065" t="s">
        <v>1246</v>
      </c>
      <c r="B1065">
        <v>24.34</v>
      </c>
      <c r="C1065" s="105">
        <v>-4.884720593982024E-2</v>
      </c>
      <c r="E1065" s="149">
        <v>44060</v>
      </c>
      <c r="F1065" s="150">
        <v>6218.5</v>
      </c>
      <c r="G1065">
        <v>-8.008039944486069E-3</v>
      </c>
    </row>
    <row r="1066" spans="1:7" x14ac:dyDescent="0.2">
      <c r="A1066" t="s">
        <v>1247</v>
      </c>
      <c r="B1066">
        <v>23.86</v>
      </c>
      <c r="C1066" s="105">
        <v>-1.9720624486442087E-2</v>
      </c>
      <c r="E1066" s="149">
        <v>44057</v>
      </c>
      <c r="F1066" s="150">
        <v>6261.7</v>
      </c>
      <c r="G1066">
        <v>6.9470129452440009E-3</v>
      </c>
    </row>
    <row r="1067" spans="1:7" x14ac:dyDescent="0.2">
      <c r="A1067" t="s">
        <v>1248</v>
      </c>
      <c r="B1067">
        <v>23.69</v>
      </c>
      <c r="C1067" s="105">
        <v>-7.1248952221290088E-3</v>
      </c>
      <c r="E1067" s="149">
        <v>44056</v>
      </c>
      <c r="F1067" s="150">
        <v>6223.9</v>
      </c>
      <c r="G1067">
        <v>-6.0366992989124655E-3</v>
      </c>
    </row>
    <row r="1068" spans="1:7" x14ac:dyDescent="0.2">
      <c r="A1068" t="s">
        <v>1249</v>
      </c>
      <c r="B1068">
        <v>25.86</v>
      </c>
      <c r="C1068" s="105">
        <v>9.1599831152384889E-2</v>
      </c>
      <c r="E1068" s="149">
        <v>44055</v>
      </c>
      <c r="F1068" s="150">
        <v>6257</v>
      </c>
      <c r="G1068">
        <v>5.3182088401163849E-3</v>
      </c>
    </row>
    <row r="1069" spans="1:7" x14ac:dyDescent="0.2">
      <c r="A1069" t="s">
        <v>1250</v>
      </c>
      <c r="B1069">
        <v>26.89</v>
      </c>
      <c r="C1069" s="105">
        <v>3.9829853054911102E-2</v>
      </c>
      <c r="E1069" s="149">
        <v>44054</v>
      </c>
      <c r="F1069" s="150">
        <v>6272.1</v>
      </c>
      <c r="G1069">
        <v>2.4132971072399496E-3</v>
      </c>
    </row>
    <row r="1070" spans="1:7" x14ac:dyDescent="0.2">
      <c r="A1070" t="s">
        <v>1251</v>
      </c>
      <c r="B1070">
        <v>26.98</v>
      </c>
      <c r="C1070" s="105">
        <v>3.3469691335068744E-3</v>
      </c>
      <c r="E1070" s="149">
        <v>44053</v>
      </c>
      <c r="F1070" s="150">
        <v>6247.1</v>
      </c>
      <c r="G1070">
        <v>-3.9859058369605075E-3</v>
      </c>
    </row>
    <row r="1071" spans="1:7" x14ac:dyDescent="0.2">
      <c r="A1071" t="s">
        <v>1252</v>
      </c>
      <c r="B1071">
        <v>26.24</v>
      </c>
      <c r="C1071" s="105">
        <v>-2.7427724240177982E-2</v>
      </c>
      <c r="E1071" s="149">
        <v>44050</v>
      </c>
      <c r="F1071" s="150">
        <v>6144.9</v>
      </c>
      <c r="G1071">
        <v>-1.6359590850154586E-2</v>
      </c>
    </row>
    <row r="1072" spans="1:7" x14ac:dyDescent="0.2">
      <c r="A1072" t="s">
        <v>1253</v>
      </c>
      <c r="B1072">
        <v>25.88</v>
      </c>
      <c r="C1072" s="105">
        <v>-1.371951219512193E-2</v>
      </c>
      <c r="E1072" s="149">
        <v>44049</v>
      </c>
      <c r="F1072" s="150">
        <v>6180.3</v>
      </c>
      <c r="G1072">
        <v>5.7608748718450337E-3</v>
      </c>
    </row>
    <row r="1073" spans="1:7" x14ac:dyDescent="0.2">
      <c r="A1073" t="s">
        <v>1254</v>
      </c>
      <c r="B1073">
        <v>25.4</v>
      </c>
      <c r="C1073" s="105">
        <v>-1.8547140649149939E-2</v>
      </c>
      <c r="E1073" s="149">
        <v>44048</v>
      </c>
      <c r="F1073" s="150">
        <v>6135.9</v>
      </c>
      <c r="G1073">
        <v>-7.1841172758604832E-3</v>
      </c>
    </row>
    <row r="1074" spans="1:7" x14ac:dyDescent="0.2">
      <c r="A1074" t="s">
        <v>1255</v>
      </c>
      <c r="B1074">
        <v>24.89</v>
      </c>
      <c r="C1074" s="105">
        <v>-2.0078740157480238E-2</v>
      </c>
      <c r="E1074" s="149">
        <v>44047</v>
      </c>
      <c r="F1074" s="150">
        <v>6166.5</v>
      </c>
      <c r="G1074">
        <v>4.9870434655063427E-3</v>
      </c>
    </row>
    <row r="1075" spans="1:7" x14ac:dyDescent="0.2">
      <c r="A1075" t="s">
        <v>1256</v>
      </c>
      <c r="B1075">
        <v>24.29</v>
      </c>
      <c r="C1075" s="105">
        <v>-2.4106066693451243E-2</v>
      </c>
      <c r="E1075" s="149">
        <v>44046</v>
      </c>
      <c r="F1075" s="150">
        <v>6053.9</v>
      </c>
      <c r="G1075">
        <v>-1.8259952971701996E-2</v>
      </c>
    </row>
    <row r="1076" spans="1:7" x14ac:dyDescent="0.2">
      <c r="A1076" t="s">
        <v>1257</v>
      </c>
      <c r="B1076">
        <v>24.57</v>
      </c>
      <c r="C1076" s="105">
        <v>1.1527377521613881E-2</v>
      </c>
      <c r="E1076" s="149">
        <v>44043</v>
      </c>
      <c r="F1076" s="150">
        <v>6058.3</v>
      </c>
      <c r="G1076">
        <v>7.2680420885719061E-4</v>
      </c>
    </row>
    <row r="1077" spans="1:7" x14ac:dyDescent="0.2">
      <c r="A1077" t="s">
        <v>1258</v>
      </c>
      <c r="B1077">
        <v>24.93</v>
      </c>
      <c r="C1077" s="105">
        <v>1.4652014652014629E-2</v>
      </c>
      <c r="E1077" s="149">
        <v>44042</v>
      </c>
      <c r="F1077" s="150">
        <v>6177.5</v>
      </c>
      <c r="G1077">
        <v>1.9675486522621827E-2</v>
      </c>
    </row>
    <row r="1078" spans="1:7" x14ac:dyDescent="0.2">
      <c r="A1078" t="s">
        <v>1259</v>
      </c>
      <c r="B1078">
        <v>24.33</v>
      </c>
      <c r="C1078" s="105">
        <v>-2.4067388688327373E-2</v>
      </c>
      <c r="E1078" s="149">
        <v>44041</v>
      </c>
      <c r="F1078" s="150">
        <v>6128</v>
      </c>
      <c r="G1078">
        <v>-8.0129502225819507E-3</v>
      </c>
    </row>
    <row r="1079" spans="1:7" x14ac:dyDescent="0.2">
      <c r="A1079" t="s">
        <v>1260</v>
      </c>
      <c r="B1079">
        <v>25.01</v>
      </c>
      <c r="C1079" s="105">
        <v>2.7949034114262365E-2</v>
      </c>
      <c r="E1079" s="149">
        <v>44040</v>
      </c>
      <c r="F1079" s="150">
        <v>6146.8</v>
      </c>
      <c r="G1079">
        <v>3.0678851174935021E-3</v>
      </c>
    </row>
    <row r="1080" spans="1:7" x14ac:dyDescent="0.2">
      <c r="A1080" t="s">
        <v>1261</v>
      </c>
      <c r="B1080">
        <v>24.72</v>
      </c>
      <c r="C1080" s="105">
        <v>-1.1595361855258004E-2</v>
      </c>
      <c r="E1080" s="149">
        <v>44039</v>
      </c>
      <c r="F1080" s="150">
        <v>6169.6</v>
      </c>
      <c r="G1080">
        <v>3.7092470879156931E-3</v>
      </c>
    </row>
    <row r="1081" spans="1:7" x14ac:dyDescent="0.2">
      <c r="A1081" t="s">
        <v>1262</v>
      </c>
      <c r="B1081">
        <v>24.61</v>
      </c>
      <c r="C1081" s="105">
        <v>-4.4498381877022429E-3</v>
      </c>
      <c r="E1081" s="149">
        <v>44036</v>
      </c>
      <c r="F1081" s="150">
        <v>6148</v>
      </c>
      <c r="G1081">
        <v>-3.5010373443983989E-3</v>
      </c>
    </row>
    <row r="1082" spans="1:7" x14ac:dyDescent="0.2">
      <c r="A1082" t="s">
        <v>1263</v>
      </c>
      <c r="B1082">
        <v>24.29</v>
      </c>
      <c r="C1082" s="105">
        <v>-1.3002844372206432E-2</v>
      </c>
      <c r="E1082" s="149">
        <v>44035</v>
      </c>
      <c r="F1082" s="150">
        <v>6213.9</v>
      </c>
      <c r="G1082">
        <v>1.071893298633696E-2</v>
      </c>
    </row>
    <row r="1083" spans="1:7" x14ac:dyDescent="0.2">
      <c r="A1083" t="s">
        <v>1264</v>
      </c>
      <c r="B1083">
        <v>23.48</v>
      </c>
      <c r="C1083" s="105">
        <v>-3.3347056401811397E-2</v>
      </c>
      <c r="E1083" s="149">
        <v>44034</v>
      </c>
      <c r="F1083" s="150">
        <v>6192.6</v>
      </c>
      <c r="G1083">
        <v>-3.4277989668323071E-3</v>
      </c>
    </row>
    <row r="1084" spans="1:7" x14ac:dyDescent="0.2">
      <c r="A1084" t="s">
        <v>1265</v>
      </c>
      <c r="B1084">
        <v>23.95</v>
      </c>
      <c r="C1084" s="105">
        <v>2.0017035775127718E-2</v>
      </c>
      <c r="E1084" s="149">
        <v>44033</v>
      </c>
      <c r="F1084" s="150">
        <v>6268.8</v>
      </c>
      <c r="G1084">
        <v>1.2305009204534414E-2</v>
      </c>
    </row>
    <row r="1085" spans="1:7" x14ac:dyDescent="0.2">
      <c r="A1085" t="s">
        <v>1266</v>
      </c>
      <c r="B1085">
        <v>23.16</v>
      </c>
      <c r="C1085" s="105">
        <v>-3.2985386221294329E-2</v>
      </c>
      <c r="E1085" s="149">
        <v>44032</v>
      </c>
      <c r="F1085" s="150">
        <v>6112.3</v>
      </c>
      <c r="G1085">
        <v>-2.4964905564063299E-2</v>
      </c>
    </row>
    <row r="1086" spans="1:7" x14ac:dyDescent="0.2">
      <c r="A1086" t="s">
        <v>1267</v>
      </c>
      <c r="B1086">
        <v>23.04</v>
      </c>
      <c r="C1086" s="105">
        <v>-5.1813471502591101E-3</v>
      </c>
      <c r="E1086" s="149">
        <v>44029</v>
      </c>
      <c r="F1086" s="150">
        <v>6144.9</v>
      </c>
      <c r="G1086">
        <v>5.3335078448373697E-3</v>
      </c>
    </row>
    <row r="1087" spans="1:7" x14ac:dyDescent="0.2">
      <c r="A1087" t="s">
        <v>1268</v>
      </c>
      <c r="B1087">
        <v>22.65</v>
      </c>
      <c r="C1087" s="105">
        <v>-1.692708333333336E-2</v>
      </c>
      <c r="E1087" s="149">
        <v>44028</v>
      </c>
      <c r="F1087" s="150">
        <v>6123</v>
      </c>
      <c r="G1087">
        <v>-3.563931064785373E-3</v>
      </c>
    </row>
    <row r="1088" spans="1:7" x14ac:dyDescent="0.2">
      <c r="A1088" t="s">
        <v>1269</v>
      </c>
      <c r="B1088">
        <v>24.17</v>
      </c>
      <c r="C1088" s="105">
        <v>6.7108167770419572E-2</v>
      </c>
      <c r="E1088" s="149">
        <v>44027</v>
      </c>
      <c r="F1088" s="150">
        <v>6160.4</v>
      </c>
      <c r="G1088">
        <v>6.1081169361423548E-3</v>
      </c>
    </row>
    <row r="1089" spans="1:7" x14ac:dyDescent="0.2">
      <c r="A1089" t="s">
        <v>1270</v>
      </c>
      <c r="B1089">
        <v>22.97</v>
      </c>
      <c r="C1089" s="105">
        <v>-4.9648324369052657E-2</v>
      </c>
      <c r="E1089" s="149">
        <v>44026</v>
      </c>
      <c r="F1089" s="150">
        <v>6045.5</v>
      </c>
      <c r="G1089">
        <v>-1.8651386273618537E-2</v>
      </c>
    </row>
    <row r="1090" spans="1:7" x14ac:dyDescent="0.2">
      <c r="A1090" t="s">
        <v>1271</v>
      </c>
      <c r="B1090">
        <v>21.77</v>
      </c>
      <c r="C1090" s="105">
        <v>-5.2242054854157567E-2</v>
      </c>
      <c r="E1090" s="149">
        <v>44025</v>
      </c>
      <c r="F1090" s="150">
        <v>6089.3</v>
      </c>
      <c r="G1090">
        <v>7.2450583078323017E-3</v>
      </c>
    </row>
    <row r="1091" spans="1:7" x14ac:dyDescent="0.2">
      <c r="A1091" t="s">
        <v>1272</v>
      </c>
      <c r="B1091">
        <v>22.45</v>
      </c>
      <c r="C1091" s="105">
        <v>3.123564538355534E-2</v>
      </c>
      <c r="E1091" s="149">
        <v>44022</v>
      </c>
      <c r="F1091" s="150">
        <v>6036.3</v>
      </c>
      <c r="G1091">
        <v>-8.7037918972624109E-3</v>
      </c>
    </row>
    <row r="1092" spans="1:7" x14ac:dyDescent="0.2">
      <c r="A1092" t="s">
        <v>1273</v>
      </c>
      <c r="B1092">
        <v>22.03</v>
      </c>
      <c r="C1092" s="105">
        <v>-1.8708240534521078E-2</v>
      </c>
      <c r="E1092" s="149">
        <v>44021</v>
      </c>
      <c r="F1092" s="150">
        <v>6074.9</v>
      </c>
      <c r="G1092">
        <v>6.3946457266867872E-3</v>
      </c>
    </row>
    <row r="1093" spans="1:7" x14ac:dyDescent="0.2">
      <c r="A1093" t="s">
        <v>1274</v>
      </c>
      <c r="B1093">
        <v>21.98</v>
      </c>
      <c r="C1093" s="105">
        <v>-2.2696323195642628E-3</v>
      </c>
      <c r="E1093" s="149">
        <v>44020</v>
      </c>
      <c r="F1093" s="150">
        <v>6034.3</v>
      </c>
      <c r="G1093">
        <v>-6.6832375841576743E-3</v>
      </c>
    </row>
    <row r="1094" spans="1:7" x14ac:dyDescent="0.2">
      <c r="A1094" t="s">
        <v>1275</v>
      </c>
      <c r="B1094">
        <v>22.48</v>
      </c>
      <c r="C1094" s="105">
        <v>2.2747952684258416E-2</v>
      </c>
      <c r="E1094" s="149">
        <v>44019</v>
      </c>
      <c r="F1094" s="150">
        <v>6126.7</v>
      </c>
      <c r="G1094">
        <v>1.5312463748902048E-2</v>
      </c>
    </row>
    <row r="1095" spans="1:7" x14ac:dyDescent="0.2">
      <c r="A1095" t="s">
        <v>1276</v>
      </c>
      <c r="B1095">
        <v>22.35</v>
      </c>
      <c r="C1095" s="105">
        <v>-5.7829181494661475E-3</v>
      </c>
      <c r="E1095" s="149">
        <v>44018</v>
      </c>
      <c r="F1095" s="150">
        <v>6125.9</v>
      </c>
      <c r="G1095">
        <v>-1.3057600339500577E-4</v>
      </c>
    </row>
    <row r="1096" spans="1:7" x14ac:dyDescent="0.2">
      <c r="A1096" t="s">
        <v>1277</v>
      </c>
      <c r="B1096">
        <v>22.24</v>
      </c>
      <c r="C1096" s="105">
        <v>-4.9217002237137795E-3</v>
      </c>
      <c r="E1096" s="149">
        <v>44015</v>
      </c>
      <c r="F1096" s="150">
        <v>6163.7</v>
      </c>
      <c r="G1096">
        <v>6.1705218824989281E-3</v>
      </c>
    </row>
    <row r="1097" spans="1:7" x14ac:dyDescent="0.2">
      <c r="A1097" t="s">
        <v>1278</v>
      </c>
      <c r="B1097">
        <v>22.45</v>
      </c>
      <c r="C1097" s="105">
        <v>9.4424460431655061E-3</v>
      </c>
      <c r="E1097" s="149">
        <v>44014</v>
      </c>
      <c r="F1097" s="150">
        <v>6142.3</v>
      </c>
      <c r="G1097">
        <v>-3.4719405551859495E-3</v>
      </c>
    </row>
    <row r="1098" spans="1:7" x14ac:dyDescent="0.2">
      <c r="A1098" t="s">
        <v>1279</v>
      </c>
      <c r="B1098">
        <v>22.23</v>
      </c>
      <c r="C1098" s="105">
        <v>-9.7995545657015085E-3</v>
      </c>
      <c r="E1098" s="149">
        <v>44013</v>
      </c>
      <c r="F1098" s="150">
        <v>6041</v>
      </c>
      <c r="G1098">
        <v>-1.6492193478013152E-2</v>
      </c>
    </row>
    <row r="1099" spans="1:7" x14ac:dyDescent="0.2">
      <c r="A1099" t="s">
        <v>1280</v>
      </c>
      <c r="B1099">
        <v>21.57</v>
      </c>
      <c r="C1099" s="105">
        <v>-2.9689608636977064E-2</v>
      </c>
      <c r="E1099" s="149">
        <v>44012</v>
      </c>
      <c r="F1099" s="150">
        <v>6001.3</v>
      </c>
      <c r="G1099">
        <v>-6.5717596424432739E-3</v>
      </c>
    </row>
    <row r="1100" spans="1:7" x14ac:dyDescent="0.2">
      <c r="A1100" t="s">
        <v>1281</v>
      </c>
      <c r="B1100">
        <v>20.99</v>
      </c>
      <c r="C1100" s="105">
        <v>-2.6889197960129896E-2</v>
      </c>
      <c r="E1100" s="149">
        <v>44011</v>
      </c>
      <c r="F1100" s="150">
        <v>5915.6</v>
      </c>
      <c r="G1100">
        <v>-1.428023928148898E-2</v>
      </c>
    </row>
    <row r="1101" spans="1:7" x14ac:dyDescent="0.2">
      <c r="A1101" t="s">
        <v>1282</v>
      </c>
      <c r="B1101">
        <v>21.78</v>
      </c>
      <c r="C1101" s="105">
        <v>3.7636969985707612E-2</v>
      </c>
      <c r="E1101" s="149">
        <v>44008</v>
      </c>
      <c r="F1101" s="150">
        <v>6011.8</v>
      </c>
      <c r="G1101">
        <v>1.6262086686050409E-2</v>
      </c>
    </row>
    <row r="1102" spans="1:7" x14ac:dyDescent="0.2">
      <c r="A1102" t="s">
        <v>1283</v>
      </c>
      <c r="B1102">
        <v>21.54</v>
      </c>
      <c r="C1102" s="105">
        <v>-1.1019283746556564E-2</v>
      </c>
      <c r="E1102" s="149">
        <v>44007</v>
      </c>
      <c r="F1102" s="150">
        <v>5928</v>
      </c>
      <c r="G1102">
        <v>-1.3939252802821149E-2</v>
      </c>
    </row>
    <row r="1103" spans="1:7" x14ac:dyDescent="0.2">
      <c r="A1103" t="s">
        <v>1284</v>
      </c>
      <c r="B1103">
        <v>21.99</v>
      </c>
      <c r="C1103" s="105">
        <v>2.0891364902506933E-2</v>
      </c>
      <c r="E1103" s="149">
        <v>44006</v>
      </c>
      <c r="F1103" s="150">
        <v>6081.6</v>
      </c>
      <c r="G1103">
        <v>2.591093117408913E-2</v>
      </c>
    </row>
    <row r="1104" spans="1:7" x14ac:dyDescent="0.2">
      <c r="A1104" t="s">
        <v>1285</v>
      </c>
      <c r="B1104">
        <v>22.3</v>
      </c>
      <c r="C1104" s="105">
        <v>1.4097316962255675E-2</v>
      </c>
      <c r="E1104" s="149">
        <v>44005</v>
      </c>
      <c r="F1104" s="150">
        <v>6069.3</v>
      </c>
      <c r="G1104">
        <v>-2.0224940805051599E-3</v>
      </c>
    </row>
    <row r="1105" spans="1:7" x14ac:dyDescent="0.2">
      <c r="A1105" t="s">
        <v>1286</v>
      </c>
      <c r="B1105">
        <v>22.55</v>
      </c>
      <c r="C1105" s="105">
        <v>1.1210762331838564E-2</v>
      </c>
      <c r="E1105" s="149">
        <v>44004</v>
      </c>
      <c r="F1105" s="150">
        <v>6058</v>
      </c>
      <c r="G1105">
        <v>-1.8618292060040172E-3</v>
      </c>
    </row>
    <row r="1106" spans="1:7" x14ac:dyDescent="0.2">
      <c r="A1106" t="s">
        <v>1287</v>
      </c>
      <c r="B1106">
        <v>22.62</v>
      </c>
      <c r="C1106" s="105">
        <v>3.1042128603104339E-3</v>
      </c>
      <c r="E1106" s="149">
        <v>44001</v>
      </c>
      <c r="F1106" s="150">
        <v>6061.6</v>
      </c>
      <c r="G1106">
        <v>5.9425552987790752E-4</v>
      </c>
    </row>
    <row r="1107" spans="1:7" x14ac:dyDescent="0.2">
      <c r="A1107" t="s">
        <v>1288</v>
      </c>
      <c r="B1107">
        <v>21.72</v>
      </c>
      <c r="C1107" s="105">
        <v>-3.9787798408488159E-2</v>
      </c>
      <c r="E1107" s="149">
        <v>44000</v>
      </c>
      <c r="F1107" s="150">
        <v>6051.9</v>
      </c>
      <c r="G1107">
        <v>-1.6002375610401093E-3</v>
      </c>
    </row>
    <row r="1108" spans="1:7" x14ac:dyDescent="0.2">
      <c r="A1108" t="s">
        <v>1289</v>
      </c>
      <c r="B1108">
        <v>21.92</v>
      </c>
      <c r="C1108" s="105">
        <v>9.2081031307551953E-3</v>
      </c>
      <c r="E1108" s="149">
        <v>43999</v>
      </c>
      <c r="F1108" s="150">
        <v>6109.1</v>
      </c>
      <c r="G1108">
        <v>9.4515771906344675E-3</v>
      </c>
    </row>
    <row r="1109" spans="1:7" x14ac:dyDescent="0.2">
      <c r="A1109" t="s">
        <v>1290</v>
      </c>
      <c r="B1109">
        <v>21.35</v>
      </c>
      <c r="C1109" s="105">
        <v>-2.6003649635036506E-2</v>
      </c>
      <c r="E1109" s="149">
        <v>43998</v>
      </c>
      <c r="F1109" s="150">
        <v>6058.1</v>
      </c>
      <c r="G1109">
        <v>-8.3482018627948473E-3</v>
      </c>
    </row>
    <row r="1110" spans="1:7" x14ac:dyDescent="0.2">
      <c r="A1110" t="s">
        <v>1291</v>
      </c>
      <c r="B1110">
        <v>20.23</v>
      </c>
      <c r="C1110" s="105">
        <v>-5.2459016393442665E-2</v>
      </c>
      <c r="E1110" s="149">
        <v>43997</v>
      </c>
      <c r="F1110" s="150">
        <v>5830</v>
      </c>
      <c r="G1110">
        <v>-3.7652069130585553E-2</v>
      </c>
    </row>
    <row r="1111" spans="1:7" x14ac:dyDescent="0.2">
      <c r="A1111" t="s">
        <v>1292</v>
      </c>
      <c r="B1111">
        <v>20</v>
      </c>
      <c r="C1111" s="105">
        <v>-1.1369253583786477E-2</v>
      </c>
      <c r="E1111" s="149">
        <v>43994</v>
      </c>
      <c r="F1111" s="150">
        <v>5959.9</v>
      </c>
      <c r="G1111">
        <v>2.2281303602058256E-2</v>
      </c>
    </row>
    <row r="1112" spans="1:7" x14ac:dyDescent="0.2">
      <c r="A1112" t="s">
        <v>1293</v>
      </c>
      <c r="B1112">
        <v>20.84</v>
      </c>
      <c r="C1112" s="105">
        <v>4.1999999999999996E-2</v>
      </c>
      <c r="E1112" s="149">
        <v>43993</v>
      </c>
      <c r="F1112" s="150">
        <v>6079.5</v>
      </c>
      <c r="G1112">
        <v>2.0067450796154362E-2</v>
      </c>
    </row>
    <row r="1113" spans="1:7" x14ac:dyDescent="0.2">
      <c r="A1113" t="s">
        <v>1294</v>
      </c>
      <c r="B1113">
        <v>20.32</v>
      </c>
      <c r="C1113" s="105">
        <v>-2.4952015355086354E-2</v>
      </c>
      <c r="E1113" s="149">
        <v>43992</v>
      </c>
      <c r="F1113" s="150">
        <v>6269.3</v>
      </c>
      <c r="G1113">
        <v>3.1219672670449901E-2</v>
      </c>
    </row>
    <row r="1114" spans="1:7" x14ac:dyDescent="0.2">
      <c r="A1114" t="s">
        <v>1295</v>
      </c>
      <c r="B1114">
        <v>20.65</v>
      </c>
      <c r="C1114" s="105">
        <v>1.6240157480314876E-2</v>
      </c>
      <c r="E1114" s="149">
        <v>43991</v>
      </c>
      <c r="F1114" s="150">
        <v>6262.9</v>
      </c>
      <c r="G1114">
        <v>-1.0208476225416787E-3</v>
      </c>
    </row>
    <row r="1115" spans="1:7" x14ac:dyDescent="0.2">
      <c r="A1115" t="s">
        <v>1296</v>
      </c>
      <c r="B1115">
        <v>20.5</v>
      </c>
      <c r="C1115" s="105">
        <v>-7.2639225181597381E-3</v>
      </c>
      <c r="E1115" s="149">
        <v>43987</v>
      </c>
      <c r="F1115" s="150">
        <v>6116.5</v>
      </c>
      <c r="G1115">
        <v>-2.3375752446949439E-2</v>
      </c>
    </row>
    <row r="1116" spans="1:7" x14ac:dyDescent="0.2">
      <c r="A1116" t="s">
        <v>1297</v>
      </c>
      <c r="B1116">
        <v>20.62</v>
      </c>
      <c r="C1116" s="105">
        <v>5.8536585365854144E-3</v>
      </c>
      <c r="E1116" s="149">
        <v>43986</v>
      </c>
      <c r="F1116" s="150">
        <v>6112</v>
      </c>
      <c r="G1116">
        <v>-7.3571486961497589E-4</v>
      </c>
    </row>
    <row r="1117" spans="1:7" x14ac:dyDescent="0.2">
      <c r="A1117" t="s">
        <v>1298</v>
      </c>
      <c r="B1117">
        <v>20.73</v>
      </c>
      <c r="C1117" s="105">
        <v>5.3346265761396424E-3</v>
      </c>
      <c r="E1117" s="149">
        <v>43985</v>
      </c>
      <c r="F1117" s="150">
        <v>6064.9</v>
      </c>
      <c r="G1117">
        <v>-7.7061518324607926E-3</v>
      </c>
    </row>
    <row r="1118" spans="1:7" x14ac:dyDescent="0.2">
      <c r="A1118" t="s">
        <v>1299</v>
      </c>
      <c r="B1118">
        <v>21.18</v>
      </c>
      <c r="C1118" s="105">
        <v>2.1707670043415304E-2</v>
      </c>
      <c r="E1118" s="149">
        <v>43984</v>
      </c>
      <c r="F1118" s="150">
        <v>5960.1</v>
      </c>
      <c r="G1118">
        <v>-1.727975729195853E-2</v>
      </c>
    </row>
    <row r="1119" spans="1:7" x14ac:dyDescent="0.2">
      <c r="A1119" t="s">
        <v>1300</v>
      </c>
      <c r="B1119">
        <v>21.44</v>
      </c>
      <c r="C1119" s="105">
        <v>1.2275731822474106E-2</v>
      </c>
      <c r="E1119" s="149">
        <v>43983</v>
      </c>
      <c r="F1119" s="150">
        <v>5938.4</v>
      </c>
      <c r="G1119">
        <v>-3.640878508749975E-3</v>
      </c>
    </row>
    <row r="1120" spans="1:7" x14ac:dyDescent="0.2">
      <c r="A1120" t="s">
        <v>1301</v>
      </c>
      <c r="B1120">
        <v>21.19</v>
      </c>
      <c r="C1120" s="105">
        <v>-1.1660447761194029E-2</v>
      </c>
      <c r="E1120" s="149">
        <v>43980</v>
      </c>
      <c r="F1120" s="150">
        <v>5872.2</v>
      </c>
      <c r="G1120">
        <v>-1.1147783914859192E-2</v>
      </c>
    </row>
    <row r="1121" spans="1:7" x14ac:dyDescent="0.2">
      <c r="A1121" t="s">
        <v>1302</v>
      </c>
      <c r="B1121">
        <v>20.89</v>
      </c>
      <c r="C1121" s="105">
        <v>-1.4157621519584742E-2</v>
      </c>
      <c r="E1121" s="149">
        <v>43979</v>
      </c>
      <c r="F1121" s="150">
        <v>5957.8</v>
      </c>
      <c r="G1121">
        <v>1.4577160178468098E-2</v>
      </c>
    </row>
    <row r="1122" spans="1:7" x14ac:dyDescent="0.2">
      <c r="A1122" t="s">
        <v>1303</v>
      </c>
      <c r="B1122">
        <v>21.17</v>
      </c>
      <c r="C1122" s="105">
        <v>1.3403542364767885E-2</v>
      </c>
      <c r="E1122" s="149">
        <v>43978</v>
      </c>
      <c r="F1122" s="150">
        <v>5884.9</v>
      </c>
      <c r="G1122">
        <v>-1.2236060290711427E-2</v>
      </c>
    </row>
    <row r="1123" spans="1:7" x14ac:dyDescent="0.2">
      <c r="A1123" t="s">
        <v>1304</v>
      </c>
      <c r="B1123">
        <v>20.78</v>
      </c>
      <c r="C1123" s="105">
        <v>-1.8422295701464361E-2</v>
      </c>
      <c r="E1123" s="149">
        <v>43977</v>
      </c>
      <c r="F1123" s="150">
        <v>5889.9</v>
      </c>
      <c r="G1123">
        <v>8.4963210929667459E-4</v>
      </c>
    </row>
    <row r="1124" spans="1:7" x14ac:dyDescent="0.2">
      <c r="A1124" t="s">
        <v>1305</v>
      </c>
      <c r="B1124">
        <v>20.09</v>
      </c>
      <c r="C1124" s="105">
        <v>-3.3205004812319597E-2</v>
      </c>
      <c r="E1124" s="149">
        <v>43976</v>
      </c>
      <c r="F1124" s="150">
        <v>5729.9</v>
      </c>
      <c r="G1124">
        <v>-2.7165147116249854E-2</v>
      </c>
    </row>
    <row r="1125" spans="1:7" x14ac:dyDescent="0.2">
      <c r="A1125" t="s">
        <v>1306</v>
      </c>
      <c r="B1125">
        <v>19.3</v>
      </c>
      <c r="C1125" s="105">
        <v>-3.9323046291687362E-2</v>
      </c>
      <c r="E1125" s="149">
        <v>43973</v>
      </c>
      <c r="F1125" s="150">
        <v>5608.8</v>
      </c>
      <c r="G1125">
        <v>-2.1134749297544365E-2</v>
      </c>
    </row>
    <row r="1126" spans="1:7" x14ac:dyDescent="0.2">
      <c r="A1126" t="s">
        <v>1307</v>
      </c>
      <c r="B1126">
        <v>19.57</v>
      </c>
      <c r="C1126" s="105">
        <v>1.398963730569946E-2</v>
      </c>
      <c r="E1126" s="149">
        <v>43972</v>
      </c>
      <c r="F1126" s="150">
        <v>5660.9</v>
      </c>
      <c r="G1126">
        <v>9.288974468691957E-3</v>
      </c>
    </row>
    <row r="1127" spans="1:7" x14ac:dyDescent="0.2">
      <c r="A1127" t="s">
        <v>1308</v>
      </c>
      <c r="B1127">
        <v>20.18</v>
      </c>
      <c r="C1127" s="105">
        <v>3.1170158405723018E-2</v>
      </c>
      <c r="E1127" s="149">
        <v>43971</v>
      </c>
      <c r="F1127" s="150">
        <v>5680.1</v>
      </c>
      <c r="G1127">
        <v>3.3916868342490996E-3</v>
      </c>
    </row>
    <row r="1128" spans="1:7" x14ac:dyDescent="0.2">
      <c r="A1128" t="s">
        <v>1309</v>
      </c>
      <c r="B1128">
        <v>18.98</v>
      </c>
      <c r="C1128" s="105">
        <v>-5.9464816650148626E-2</v>
      </c>
      <c r="E1128" s="149">
        <v>43970</v>
      </c>
      <c r="F1128" s="150">
        <v>5658.8</v>
      </c>
      <c r="G1128">
        <v>-3.7499339800355943E-3</v>
      </c>
    </row>
    <row r="1129" spans="1:7" x14ac:dyDescent="0.2">
      <c r="A1129" t="s">
        <v>1310</v>
      </c>
      <c r="B1129">
        <v>18.510000000000002</v>
      </c>
      <c r="C1129" s="105">
        <v>-2.4762908324552101E-2</v>
      </c>
      <c r="E1129" s="149">
        <v>43969</v>
      </c>
      <c r="F1129" s="150">
        <v>5557.5</v>
      </c>
      <c r="G1129">
        <v>-1.7901321835018056E-2</v>
      </c>
    </row>
    <row r="1130" spans="1:7" x14ac:dyDescent="0.2">
      <c r="A1130" t="s">
        <v>1311</v>
      </c>
      <c r="B1130">
        <v>18.77</v>
      </c>
      <c r="C1130" s="105">
        <v>1.4046461372231117E-2</v>
      </c>
      <c r="E1130" s="149">
        <v>43966</v>
      </c>
      <c r="F1130" s="150">
        <v>5492.8</v>
      </c>
      <c r="G1130">
        <v>-1.1641925326135819E-2</v>
      </c>
    </row>
    <row r="1131" spans="1:7" x14ac:dyDescent="0.2">
      <c r="A1131" t="s">
        <v>1312</v>
      </c>
      <c r="B1131">
        <v>18.91</v>
      </c>
      <c r="C1131" s="105">
        <v>7.4587107085775477E-3</v>
      </c>
      <c r="E1131" s="149">
        <v>43965</v>
      </c>
      <c r="F1131" s="150">
        <v>5418</v>
      </c>
      <c r="G1131">
        <v>-1.3617826973492606E-2</v>
      </c>
    </row>
    <row r="1132" spans="1:7" x14ac:dyDescent="0.2">
      <c r="A1132" t="s">
        <v>1313</v>
      </c>
      <c r="B1132">
        <v>17.72</v>
      </c>
      <c r="C1132" s="105">
        <v>-6.292966684294031E-2</v>
      </c>
      <c r="E1132" s="149">
        <v>43964</v>
      </c>
      <c r="F1132" s="150">
        <v>5513.7</v>
      </c>
      <c r="G1132">
        <v>1.766334440753042E-2</v>
      </c>
    </row>
    <row r="1133" spans="1:7" x14ac:dyDescent="0.2">
      <c r="A1133" t="s">
        <v>1314</v>
      </c>
      <c r="B1133">
        <v>17.72</v>
      </c>
      <c r="C1133" s="105">
        <v>0</v>
      </c>
      <c r="E1133" s="149">
        <v>43963</v>
      </c>
      <c r="F1133" s="150">
        <v>5497.3</v>
      </c>
      <c r="G1133">
        <v>-2.9744091989044809E-3</v>
      </c>
    </row>
    <row r="1134" spans="1:7" x14ac:dyDescent="0.2">
      <c r="A1134" t="s">
        <v>1315</v>
      </c>
      <c r="B1134">
        <v>17.690000000000001</v>
      </c>
      <c r="C1134" s="105">
        <v>-1.6930022573362069E-3</v>
      </c>
      <c r="E1134" s="149">
        <v>43962</v>
      </c>
      <c r="F1134" s="150">
        <v>5559.1</v>
      </c>
      <c r="G1134">
        <v>1.1241882378622265E-2</v>
      </c>
    </row>
    <row r="1135" spans="1:7" x14ac:dyDescent="0.2">
      <c r="A1135" t="s">
        <v>1316</v>
      </c>
      <c r="B1135">
        <v>17.55</v>
      </c>
      <c r="C1135" s="105">
        <v>-7.9140757490107714E-3</v>
      </c>
      <c r="E1135" s="149">
        <v>43959</v>
      </c>
      <c r="F1135" s="150">
        <v>5488</v>
      </c>
      <c r="G1135">
        <v>-1.278984008202773E-2</v>
      </c>
    </row>
    <row r="1136" spans="1:7" x14ac:dyDescent="0.2">
      <c r="A1136" t="s">
        <v>1317</v>
      </c>
      <c r="B1136">
        <v>17.54</v>
      </c>
      <c r="C1136" s="105">
        <v>-5.6980056980065889E-4</v>
      </c>
      <c r="E1136" s="149">
        <v>43958</v>
      </c>
      <c r="F1136" s="150">
        <v>5449.9</v>
      </c>
      <c r="G1136">
        <v>-6.9424198250729527E-3</v>
      </c>
    </row>
    <row r="1137" spans="1:7" x14ac:dyDescent="0.2">
      <c r="A1137" t="s">
        <v>1318</v>
      </c>
      <c r="B1137">
        <v>17.16</v>
      </c>
      <c r="C1137" s="105">
        <v>-2.1664766248574632E-2</v>
      </c>
      <c r="E1137" s="149">
        <v>43957</v>
      </c>
      <c r="F1137" s="150">
        <v>5464.8</v>
      </c>
      <c r="G1137">
        <v>2.7339951191765991E-3</v>
      </c>
    </row>
    <row r="1138" spans="1:7" x14ac:dyDescent="0.2">
      <c r="A1138" t="s">
        <v>1319</v>
      </c>
      <c r="B1138">
        <v>16.920000000000002</v>
      </c>
      <c r="C1138" s="105">
        <v>-1.3986013986013894E-2</v>
      </c>
      <c r="E1138" s="149">
        <v>43956</v>
      </c>
      <c r="F1138" s="150">
        <v>5478.1</v>
      </c>
      <c r="G1138">
        <v>2.4337578685405103E-3</v>
      </c>
    </row>
    <row r="1139" spans="1:7" x14ac:dyDescent="0.2">
      <c r="A1139" t="s">
        <v>1320</v>
      </c>
      <c r="B1139">
        <v>16.39</v>
      </c>
      <c r="C1139" s="105">
        <v>-3.1323877068557986E-2</v>
      </c>
      <c r="E1139" s="149">
        <v>43955</v>
      </c>
      <c r="F1139" s="150">
        <v>5389.5</v>
      </c>
      <c r="G1139">
        <v>-1.617349080885715E-2</v>
      </c>
    </row>
    <row r="1140" spans="1:7" x14ac:dyDescent="0.2">
      <c r="A1140" t="s">
        <v>1321</v>
      </c>
      <c r="B1140">
        <v>16.14</v>
      </c>
      <c r="C1140" s="105">
        <v>-1.525320317266626E-2</v>
      </c>
      <c r="E1140" s="149">
        <v>43952</v>
      </c>
      <c r="F1140" s="150">
        <v>5325</v>
      </c>
      <c r="G1140">
        <v>-1.1967715001391595E-2</v>
      </c>
    </row>
    <row r="1141" spans="1:7" x14ac:dyDescent="0.2">
      <c r="A1141" t="s">
        <v>1322</v>
      </c>
      <c r="B1141">
        <v>16.64</v>
      </c>
      <c r="C1141" s="105">
        <v>3.097893432465923E-2</v>
      </c>
      <c r="E1141" s="149">
        <v>43951</v>
      </c>
      <c r="F1141" s="150">
        <v>5597.7</v>
      </c>
      <c r="G1141">
        <v>5.121126760563377E-2</v>
      </c>
    </row>
    <row r="1142" spans="1:7" x14ac:dyDescent="0.2">
      <c r="A1142" t="s">
        <v>1323</v>
      </c>
      <c r="B1142">
        <v>16.329999999999998</v>
      </c>
      <c r="C1142" s="105">
        <v>-1.8629807692307827E-2</v>
      </c>
      <c r="E1142" s="149">
        <v>43950</v>
      </c>
      <c r="F1142" s="150">
        <v>5463.8</v>
      </c>
      <c r="G1142">
        <v>-2.3920538792718375E-2</v>
      </c>
    </row>
    <row r="1143" spans="1:7" x14ac:dyDescent="0.2">
      <c r="A1143" t="s">
        <v>1324</v>
      </c>
      <c r="B1143">
        <v>16.89</v>
      </c>
      <c r="C1143" s="105">
        <v>3.4292712798530453E-2</v>
      </c>
      <c r="E1143" s="149">
        <v>43949</v>
      </c>
      <c r="F1143" s="150">
        <v>5381.2</v>
      </c>
      <c r="G1143">
        <v>-1.5117683663384524E-2</v>
      </c>
    </row>
    <row r="1144" spans="1:7" x14ac:dyDescent="0.2">
      <c r="A1144" t="s">
        <v>1325</v>
      </c>
      <c r="B1144">
        <v>16.38</v>
      </c>
      <c r="C1144" s="105">
        <v>-3.0195381882770961E-2</v>
      </c>
      <c r="E1144" s="149">
        <v>43948</v>
      </c>
      <c r="F1144" s="150">
        <v>5388.3</v>
      </c>
      <c r="G1144">
        <v>1.3194083104141018E-3</v>
      </c>
    </row>
    <row r="1145" spans="1:7" x14ac:dyDescent="0.2">
      <c r="A1145" t="s">
        <v>1326</v>
      </c>
      <c r="B1145">
        <v>15.58</v>
      </c>
      <c r="C1145" s="105">
        <v>-4.8840048840048778E-2</v>
      </c>
      <c r="E1145" s="149">
        <v>43945</v>
      </c>
      <c r="F1145" s="150">
        <v>5300.7</v>
      </c>
      <c r="G1145">
        <v>-1.6257446690050734E-2</v>
      </c>
    </row>
    <row r="1146" spans="1:7" x14ac:dyDescent="0.2">
      <c r="A1146" t="s">
        <v>1327</v>
      </c>
      <c r="B1146">
        <v>15.79</v>
      </c>
      <c r="C1146" s="105">
        <v>1.3478818998716243E-2</v>
      </c>
      <c r="E1146" s="149">
        <v>43944</v>
      </c>
      <c r="F1146" s="150">
        <v>5272.8</v>
      </c>
      <c r="G1146">
        <v>-5.2634557699925743E-3</v>
      </c>
    </row>
    <row r="1147" spans="1:7" x14ac:dyDescent="0.2">
      <c r="A1147" t="s">
        <v>1328</v>
      </c>
      <c r="B1147">
        <v>16.05</v>
      </c>
      <c r="C1147" s="105">
        <v>1.6466117796073564E-2</v>
      </c>
      <c r="E1147" s="149">
        <v>43943</v>
      </c>
      <c r="F1147" s="150">
        <v>5273.8</v>
      </c>
      <c r="G1147">
        <v>1.8965255651646183E-4</v>
      </c>
    </row>
    <row r="1148" spans="1:7" x14ac:dyDescent="0.2">
      <c r="A1148" t="s">
        <v>1329</v>
      </c>
      <c r="B1148">
        <v>16.09</v>
      </c>
      <c r="C1148" s="105">
        <v>2.4922118380061773E-3</v>
      </c>
      <c r="E1148" s="149">
        <v>43942</v>
      </c>
      <c r="F1148" s="150">
        <v>5278.6</v>
      </c>
      <c r="G1148">
        <v>9.1015965717323023E-4</v>
      </c>
    </row>
    <row r="1149" spans="1:7" x14ac:dyDescent="0.2">
      <c r="A1149" t="s">
        <v>1330</v>
      </c>
      <c r="B1149">
        <v>16.98</v>
      </c>
      <c r="C1149" s="105">
        <v>5.5313859540087044E-2</v>
      </c>
      <c r="E1149" s="149">
        <v>43941</v>
      </c>
      <c r="F1149" s="150">
        <v>5414.7</v>
      </c>
      <c r="G1149">
        <v>2.5783351646269739E-2</v>
      </c>
    </row>
    <row r="1150" spans="1:7" x14ac:dyDescent="0.2">
      <c r="A1150" t="s">
        <v>1331</v>
      </c>
      <c r="B1150">
        <v>17.739999999999998</v>
      </c>
      <c r="C1150" s="105">
        <v>4.4758539458185982E-2</v>
      </c>
      <c r="E1150" s="149">
        <v>43938</v>
      </c>
      <c r="F1150" s="150">
        <v>5544.7</v>
      </c>
      <c r="G1150">
        <v>2.4008717011099415E-2</v>
      </c>
    </row>
    <row r="1151" spans="1:7" x14ac:dyDescent="0.2">
      <c r="A1151" t="s">
        <v>1332</v>
      </c>
      <c r="B1151">
        <v>16.82</v>
      </c>
      <c r="C1151" s="105">
        <v>-5.1860202931228762E-2</v>
      </c>
      <c r="E1151" s="149">
        <v>43937</v>
      </c>
      <c r="F1151" s="150">
        <v>5467.6</v>
      </c>
      <c r="G1151">
        <v>-1.3905170703554648E-2</v>
      </c>
    </row>
    <row r="1152" spans="1:7" x14ac:dyDescent="0.2">
      <c r="A1152" t="s">
        <v>1333</v>
      </c>
      <c r="B1152">
        <v>17.329999999999998</v>
      </c>
      <c r="C1152" s="105">
        <v>3.0321046373364923E-2</v>
      </c>
      <c r="E1152" s="149">
        <v>43936</v>
      </c>
      <c r="F1152" s="150">
        <v>5523.3</v>
      </c>
      <c r="G1152">
        <v>1.0187285097666218E-2</v>
      </c>
    </row>
    <row r="1153" spans="1:7" x14ac:dyDescent="0.2">
      <c r="A1153" t="s">
        <v>1334</v>
      </c>
      <c r="B1153">
        <v>16.54</v>
      </c>
      <c r="C1153" s="105">
        <v>-4.5585689555683741E-2</v>
      </c>
      <c r="E1153" s="149">
        <v>43935</v>
      </c>
      <c r="F1153" s="150">
        <v>5542.5</v>
      </c>
      <c r="G1153">
        <v>3.4761827168540214E-3</v>
      </c>
    </row>
    <row r="1154" spans="1:7" x14ac:dyDescent="0.2">
      <c r="A1154" t="s">
        <v>1335</v>
      </c>
      <c r="B1154">
        <v>16.52</v>
      </c>
      <c r="C1154" s="105">
        <v>-1.2091898428052948E-3</v>
      </c>
      <c r="E1154" s="149">
        <v>43930</v>
      </c>
      <c r="F1154" s="150">
        <v>5439.4</v>
      </c>
      <c r="G1154">
        <v>-1.8601714027965784E-2</v>
      </c>
    </row>
    <row r="1155" spans="1:7" x14ac:dyDescent="0.2">
      <c r="A1155" t="s">
        <v>1336</v>
      </c>
      <c r="B1155">
        <v>15.69</v>
      </c>
      <c r="C1155" s="105">
        <v>-5.0242130750605331E-2</v>
      </c>
      <c r="E1155" s="149">
        <v>43929</v>
      </c>
      <c r="F1155" s="150">
        <v>5258.8</v>
      </c>
      <c r="G1155">
        <v>-3.3202191418171025E-2</v>
      </c>
    </row>
    <row r="1156" spans="1:7" x14ac:dyDescent="0.2">
      <c r="A1156" t="s">
        <v>1337</v>
      </c>
      <c r="B1156">
        <v>15.72</v>
      </c>
      <c r="C1156" s="105">
        <v>1.912045889101411E-3</v>
      </c>
      <c r="E1156" s="149">
        <v>43928</v>
      </c>
      <c r="F1156" s="150">
        <v>5301.3</v>
      </c>
      <c r="G1156">
        <v>8.081691640678481E-3</v>
      </c>
    </row>
    <row r="1157" spans="1:7" x14ac:dyDescent="0.2">
      <c r="A1157" t="s">
        <v>1338</v>
      </c>
      <c r="B1157">
        <v>15.47</v>
      </c>
      <c r="C1157" s="105">
        <v>-1.5903307888040712E-2</v>
      </c>
      <c r="E1157" s="149">
        <v>43927</v>
      </c>
      <c r="F1157" s="150">
        <v>5323.6</v>
      </c>
      <c r="G1157">
        <v>4.2065153830192934E-3</v>
      </c>
    </row>
    <row r="1158" spans="1:7" x14ac:dyDescent="0.2">
      <c r="A1158" t="s">
        <v>1339</v>
      </c>
      <c r="B1158">
        <v>15.61</v>
      </c>
      <c r="C1158" s="105">
        <v>9.0497737556560296E-3</v>
      </c>
      <c r="E1158" s="149">
        <v>43924</v>
      </c>
      <c r="F1158" s="150">
        <v>5106.8999999999996</v>
      </c>
      <c r="G1158">
        <v>-4.0705537606131326E-2</v>
      </c>
    </row>
    <row r="1159" spans="1:7" x14ac:dyDescent="0.2">
      <c r="A1159" t="s">
        <v>1340</v>
      </c>
      <c r="B1159">
        <v>16.350000000000001</v>
      </c>
      <c r="C1159" s="105">
        <v>4.7405509288917493E-2</v>
      </c>
      <c r="E1159" s="149">
        <v>43923</v>
      </c>
      <c r="F1159" s="150">
        <v>5188.7</v>
      </c>
      <c r="G1159">
        <v>1.6017544890246566E-2</v>
      </c>
    </row>
    <row r="1160" spans="1:7" x14ac:dyDescent="0.2">
      <c r="A1160" t="s">
        <v>1341</v>
      </c>
      <c r="B1160">
        <v>16.46</v>
      </c>
      <c r="C1160" s="105">
        <v>6.7278287461773343E-3</v>
      </c>
      <c r="E1160" s="149">
        <v>43922</v>
      </c>
      <c r="F1160" s="150">
        <v>5290.7</v>
      </c>
      <c r="G1160">
        <v>1.9658103185769077E-2</v>
      </c>
    </row>
    <row r="1161" spans="1:7" x14ac:dyDescent="0.2">
      <c r="A1161" t="s">
        <v>1342</v>
      </c>
      <c r="B1161">
        <v>16</v>
      </c>
      <c r="C1161" s="105">
        <v>-2.7946537059538326E-2</v>
      </c>
      <c r="E1161" s="149">
        <v>43921</v>
      </c>
      <c r="F1161" s="150">
        <v>5110.6000000000004</v>
      </c>
      <c r="G1161">
        <v>-3.4040864157861804E-2</v>
      </c>
    </row>
    <row r="1162" spans="1:7" x14ac:dyDescent="0.2">
      <c r="A1162" t="s">
        <v>1343</v>
      </c>
      <c r="B1162">
        <v>15.64</v>
      </c>
      <c r="C1162" s="105">
        <v>-2.2499999999999964E-2</v>
      </c>
      <c r="E1162" s="149">
        <v>43920</v>
      </c>
      <c r="F1162" s="150">
        <v>5194</v>
      </c>
      <c r="G1162">
        <v>1.631902320666842E-2</v>
      </c>
    </row>
    <row r="1163" spans="1:7" x14ac:dyDescent="0.2">
      <c r="A1163" t="s">
        <v>1344</v>
      </c>
      <c r="B1163">
        <v>14.21</v>
      </c>
      <c r="C1163" s="105">
        <v>-9.1432225063938596E-2</v>
      </c>
      <c r="E1163" s="149">
        <v>43917</v>
      </c>
      <c r="F1163" s="150">
        <v>4874.2</v>
      </c>
      <c r="G1163">
        <v>-6.1571043511744354E-2</v>
      </c>
    </row>
    <row r="1164" spans="1:7" x14ac:dyDescent="0.2">
      <c r="A1164" t="s">
        <v>1345</v>
      </c>
      <c r="B1164">
        <v>14.07</v>
      </c>
      <c r="C1164" s="105">
        <v>-9.8522167487685129E-3</v>
      </c>
      <c r="E1164" s="149">
        <v>43916</v>
      </c>
      <c r="F1164" s="150">
        <v>5135.2</v>
      </c>
      <c r="G1164">
        <v>5.3547248779286856E-2</v>
      </c>
    </row>
    <row r="1165" spans="1:7" x14ac:dyDescent="0.2">
      <c r="A1165" t="s">
        <v>1346</v>
      </c>
      <c r="B1165">
        <v>12.47</v>
      </c>
      <c r="C1165" s="105">
        <v>-0.11371712864250175</v>
      </c>
      <c r="E1165" s="149">
        <v>43915</v>
      </c>
      <c r="F1165" s="150">
        <v>5006.2</v>
      </c>
      <c r="G1165">
        <v>-2.5120735317027576E-2</v>
      </c>
    </row>
    <row r="1166" spans="1:7" x14ac:dyDescent="0.2">
      <c r="A1166" t="s">
        <v>1347</v>
      </c>
      <c r="B1166">
        <v>10.42</v>
      </c>
      <c r="C1166" s="105">
        <v>-0.16439454691259026</v>
      </c>
      <c r="E1166" s="149">
        <v>43914</v>
      </c>
      <c r="F1166" s="150">
        <v>4753.3</v>
      </c>
      <c r="G1166">
        <v>-5.0517358475490319E-2</v>
      </c>
    </row>
    <row r="1167" spans="1:7" x14ac:dyDescent="0.2">
      <c r="A1167" t="s">
        <v>1348</v>
      </c>
      <c r="B1167">
        <v>10.23</v>
      </c>
      <c r="C1167" s="105">
        <v>-1.8234165067178454E-2</v>
      </c>
      <c r="E1167" s="149">
        <v>43913</v>
      </c>
      <c r="F1167" s="150">
        <v>4564.1000000000004</v>
      </c>
      <c r="G1167">
        <v>-3.980392569372853E-2</v>
      </c>
    </row>
    <row r="1168" spans="1:7" x14ac:dyDescent="0.2">
      <c r="A1168" t="s">
        <v>1349</v>
      </c>
      <c r="B1168">
        <v>11.93</v>
      </c>
      <c r="C1168" s="105">
        <v>0.16617790811339192</v>
      </c>
      <c r="E1168" s="149">
        <v>43910</v>
      </c>
      <c r="F1168" s="150">
        <v>4854.3</v>
      </c>
      <c r="G1168">
        <v>6.3583181788304327E-2</v>
      </c>
    </row>
    <row r="1169" spans="1:7" x14ac:dyDescent="0.2">
      <c r="A1169" t="s">
        <v>1350</v>
      </c>
      <c r="B1169">
        <v>11.61</v>
      </c>
      <c r="C1169" s="105">
        <v>-2.6823134953897761E-2</v>
      </c>
      <c r="E1169" s="149">
        <v>43909</v>
      </c>
      <c r="F1169" s="150">
        <v>4809.3999999999996</v>
      </c>
      <c r="G1169">
        <v>-9.2495313433451874E-3</v>
      </c>
    </row>
    <row r="1170" spans="1:7" x14ac:dyDescent="0.2">
      <c r="A1170" t="s">
        <v>1351</v>
      </c>
      <c r="B1170">
        <v>11.85</v>
      </c>
      <c r="C1170" s="105">
        <v>2.0671834625323016E-2</v>
      </c>
      <c r="E1170" s="149">
        <v>43908</v>
      </c>
      <c r="F1170" s="150">
        <v>4998.8</v>
      </c>
      <c r="G1170">
        <v>3.9381211793571042E-2</v>
      </c>
    </row>
    <row r="1171" spans="1:7" x14ac:dyDescent="0.2">
      <c r="A1171" t="s">
        <v>1352</v>
      </c>
      <c r="B1171">
        <v>13.95</v>
      </c>
      <c r="C1171" s="105">
        <v>0.17721518987341769</v>
      </c>
      <c r="E1171" s="149">
        <v>43907</v>
      </c>
      <c r="F1171" s="150">
        <v>5332.8</v>
      </c>
      <c r="G1171">
        <v>6.6816035848603669E-2</v>
      </c>
    </row>
    <row r="1172" spans="1:7" x14ac:dyDescent="0.2">
      <c r="A1172" t="s">
        <v>1353</v>
      </c>
      <c r="B1172">
        <v>13.77</v>
      </c>
      <c r="C1172" s="105">
        <v>-1.2903225806451594E-2</v>
      </c>
      <c r="E1172" s="149">
        <v>43906</v>
      </c>
      <c r="F1172" s="150">
        <v>5058.2</v>
      </c>
      <c r="G1172">
        <v>-5.1492649264926561E-2</v>
      </c>
    </row>
    <row r="1173" spans="1:7" x14ac:dyDescent="0.2">
      <c r="A1173" t="s">
        <v>1354</v>
      </c>
      <c r="B1173">
        <v>15.52</v>
      </c>
      <c r="C1173" s="105">
        <v>0.12708787218591142</v>
      </c>
      <c r="E1173" s="149">
        <v>43903</v>
      </c>
      <c r="F1173" s="150">
        <v>5590.7</v>
      </c>
      <c r="G1173">
        <v>0.10527460361393381</v>
      </c>
    </row>
    <row r="1174" spans="1:7" x14ac:dyDescent="0.2">
      <c r="A1174" t="s">
        <v>1355</v>
      </c>
      <c r="B1174">
        <v>14.28</v>
      </c>
      <c r="C1174" s="105">
        <v>-7.9896907216494867E-2</v>
      </c>
      <c r="E1174" s="149">
        <v>43902</v>
      </c>
      <c r="F1174" s="150">
        <v>5370.9</v>
      </c>
      <c r="G1174">
        <v>-3.9315291466184947E-2</v>
      </c>
    </row>
    <row r="1175" spans="1:7" x14ac:dyDescent="0.2">
      <c r="A1175" t="s">
        <v>1356</v>
      </c>
      <c r="B1175">
        <v>15.28</v>
      </c>
      <c r="C1175" s="105">
        <v>7.0028011204481794E-2</v>
      </c>
      <c r="E1175" s="149">
        <v>43901</v>
      </c>
      <c r="F1175" s="150">
        <v>5789.3</v>
      </c>
      <c r="G1175">
        <v>7.7901282839002883E-2</v>
      </c>
    </row>
    <row r="1176" spans="1:7" x14ac:dyDescent="0.2">
      <c r="A1176" t="s">
        <v>1357</v>
      </c>
      <c r="B1176">
        <v>16.25</v>
      </c>
      <c r="C1176" s="105">
        <v>6.3481675392670203E-2</v>
      </c>
      <c r="E1176" s="149">
        <v>43900</v>
      </c>
      <c r="F1176" s="150">
        <v>5995.8</v>
      </c>
      <c r="G1176">
        <v>3.5669251895738691E-2</v>
      </c>
    </row>
    <row r="1177" spans="1:7" x14ac:dyDescent="0.2">
      <c r="A1177" t="s">
        <v>1358</v>
      </c>
      <c r="B1177">
        <v>15.58</v>
      </c>
      <c r="C1177" s="105">
        <v>-4.1230769230769224E-2</v>
      </c>
      <c r="E1177" s="149">
        <v>43899</v>
      </c>
      <c r="F1177" s="150">
        <v>5822.4</v>
      </c>
      <c r="G1177">
        <v>-2.8920244170919734E-2</v>
      </c>
    </row>
    <row r="1178" spans="1:7" x14ac:dyDescent="0.2">
      <c r="A1178" t="s">
        <v>1359</v>
      </c>
      <c r="B1178">
        <v>17.329999999999998</v>
      </c>
      <c r="C1178" s="105">
        <v>0.11232349165596908</v>
      </c>
      <c r="E1178" s="149">
        <v>43896</v>
      </c>
      <c r="F1178" s="150">
        <v>6287.5</v>
      </c>
      <c r="G1178">
        <v>7.9881148667216337E-2</v>
      </c>
    </row>
    <row r="1179" spans="1:7" x14ac:dyDescent="0.2">
      <c r="A1179" t="s">
        <v>1360</v>
      </c>
      <c r="B1179">
        <v>18.07</v>
      </c>
      <c r="C1179" s="105">
        <v>4.2700519330640625E-2</v>
      </c>
      <c r="E1179" s="149">
        <v>43895</v>
      </c>
      <c r="F1179" s="150">
        <v>6472.4</v>
      </c>
      <c r="G1179">
        <v>2.9407554671968133E-2</v>
      </c>
    </row>
    <row r="1180" spans="1:7" x14ac:dyDescent="0.2">
      <c r="A1180" t="s">
        <v>1361</v>
      </c>
      <c r="B1180">
        <v>17.64</v>
      </c>
      <c r="C1180" s="105">
        <v>-2.3796347537354715E-2</v>
      </c>
      <c r="E1180" s="149">
        <v>43894</v>
      </c>
      <c r="F1180" s="150">
        <v>6398.5</v>
      </c>
      <c r="G1180">
        <v>-1.1417712131512213E-2</v>
      </c>
    </row>
    <row r="1181" spans="1:7" x14ac:dyDescent="0.2">
      <c r="A1181" t="s">
        <v>1362</v>
      </c>
      <c r="B1181">
        <v>18.38</v>
      </c>
      <c r="C1181" s="105">
        <v>4.195011337868472E-2</v>
      </c>
      <c r="E1181" s="149">
        <v>43893</v>
      </c>
      <c r="F1181" s="150">
        <v>6511.6</v>
      </c>
      <c r="G1181">
        <v>1.767601781667584E-2</v>
      </c>
    </row>
    <row r="1182" spans="1:7" x14ac:dyDescent="0.2">
      <c r="A1182" t="s">
        <v>1363</v>
      </c>
      <c r="B1182">
        <v>18.420000000000002</v>
      </c>
      <c r="C1182" s="105">
        <v>2.1762785636562951E-3</v>
      </c>
      <c r="E1182" s="149">
        <v>43892</v>
      </c>
      <c r="F1182" s="150">
        <v>6461.1</v>
      </c>
      <c r="G1182">
        <v>-7.7553903802444861E-3</v>
      </c>
    </row>
    <row r="1183" spans="1:7" x14ac:dyDescent="0.2">
      <c r="A1183" t="s">
        <v>1364</v>
      </c>
      <c r="B1183">
        <v>18.43</v>
      </c>
      <c r="C1183" s="105">
        <v>5.428881650378941E-4</v>
      </c>
      <c r="E1183" s="149">
        <v>43889</v>
      </c>
      <c r="F1183" s="150">
        <v>6511.5</v>
      </c>
      <c r="G1183">
        <v>7.8005293216324824E-3</v>
      </c>
    </row>
    <row r="1184" spans="1:7" x14ac:dyDescent="0.2">
      <c r="A1184" t="s">
        <v>1365</v>
      </c>
      <c r="B1184">
        <v>19.23</v>
      </c>
      <c r="C1184" s="105">
        <v>4.3407487791644099E-2</v>
      </c>
      <c r="E1184" s="149">
        <v>43888</v>
      </c>
      <c r="F1184" s="150">
        <v>6737.4</v>
      </c>
      <c r="G1184">
        <v>3.4692467173462277E-2</v>
      </c>
    </row>
    <row r="1185" spans="1:7" x14ac:dyDescent="0.2">
      <c r="A1185" t="s">
        <v>1366</v>
      </c>
      <c r="B1185">
        <v>19.57</v>
      </c>
      <c r="C1185" s="105">
        <v>1.7680707228289124E-2</v>
      </c>
      <c r="E1185" s="149">
        <v>43887</v>
      </c>
      <c r="F1185" s="150">
        <v>6790.7</v>
      </c>
      <c r="G1185">
        <v>7.9110636150444072E-3</v>
      </c>
    </row>
    <row r="1186" spans="1:7" x14ac:dyDescent="0.2">
      <c r="A1186" t="s">
        <v>1367</v>
      </c>
      <c r="B1186">
        <v>19.989999999999998</v>
      </c>
      <c r="C1186" s="105">
        <v>2.1461420541645283E-2</v>
      </c>
      <c r="E1186" s="149">
        <v>43886</v>
      </c>
      <c r="F1186" s="150">
        <v>6953.8</v>
      </c>
      <c r="G1186">
        <v>2.4018142459540308E-2</v>
      </c>
    </row>
    <row r="1187" spans="1:7" x14ac:dyDescent="0.2">
      <c r="A1187" t="s">
        <v>1368</v>
      </c>
      <c r="B1187">
        <v>20.09</v>
      </c>
      <c r="C1187" s="105">
        <v>5.0025012506253845E-3</v>
      </c>
      <c r="E1187" s="149">
        <v>43885</v>
      </c>
      <c r="F1187" s="150">
        <v>7065.4</v>
      </c>
      <c r="G1187">
        <v>1.6048779084816854E-2</v>
      </c>
    </row>
    <row r="1188" spans="1:7" x14ac:dyDescent="0.2">
      <c r="A1188" t="s">
        <v>1369</v>
      </c>
      <c r="B1188">
        <v>20.54</v>
      </c>
      <c r="C1188" s="105">
        <v>2.2399203583872537E-2</v>
      </c>
      <c r="E1188" s="149">
        <v>43882</v>
      </c>
      <c r="F1188" s="150">
        <v>7230.4</v>
      </c>
      <c r="G1188">
        <v>2.3353242562346083E-2</v>
      </c>
    </row>
    <row r="1189" spans="1:7" x14ac:dyDescent="0.2">
      <c r="A1189" t="s">
        <v>1370</v>
      </c>
      <c r="B1189">
        <v>20.95</v>
      </c>
      <c r="C1189" s="105">
        <v>1.9961051606621233E-2</v>
      </c>
      <c r="E1189" s="149">
        <v>43881</v>
      </c>
      <c r="F1189" s="150">
        <v>7255.2</v>
      </c>
      <c r="G1189">
        <v>3.4299623810577816E-3</v>
      </c>
    </row>
    <row r="1190" spans="1:7" x14ac:dyDescent="0.2">
      <c r="A1190" t="s">
        <v>1371</v>
      </c>
      <c r="B1190">
        <v>21.52</v>
      </c>
      <c r="C1190" s="105">
        <v>2.7207637231503594E-2</v>
      </c>
      <c r="E1190" s="149">
        <v>43880</v>
      </c>
      <c r="F1190" s="150">
        <v>7237.4</v>
      </c>
      <c r="G1190">
        <v>-2.4534127246664712E-3</v>
      </c>
    </row>
    <row r="1191" spans="1:7" x14ac:dyDescent="0.2">
      <c r="A1191" t="s">
        <v>1372</v>
      </c>
      <c r="B1191">
        <v>21.69</v>
      </c>
      <c r="C1191" s="105">
        <v>7.8996282527881833E-3</v>
      </c>
      <c r="E1191" s="149">
        <v>43879</v>
      </c>
      <c r="F1191" s="150">
        <v>7208.3</v>
      </c>
      <c r="G1191">
        <v>-4.0207809434326496E-3</v>
      </c>
    </row>
    <row r="1192" spans="1:7" x14ac:dyDescent="0.2">
      <c r="A1192" t="s">
        <v>1373</v>
      </c>
      <c r="B1192">
        <v>22.49</v>
      </c>
      <c r="C1192" s="105">
        <v>3.6883356385430943E-2</v>
      </c>
      <c r="E1192" s="149">
        <v>43878</v>
      </c>
      <c r="F1192" s="150">
        <v>7221.2</v>
      </c>
      <c r="G1192">
        <v>1.7896036513463142E-3</v>
      </c>
    </row>
    <row r="1193" spans="1:7" x14ac:dyDescent="0.2">
      <c r="A1193" t="s">
        <v>1374</v>
      </c>
      <c r="B1193">
        <v>22.87</v>
      </c>
      <c r="C1193" s="105">
        <v>1.6896398399288689E-2</v>
      </c>
      <c r="E1193" s="149">
        <v>43875</v>
      </c>
      <c r="F1193" s="150">
        <v>7227.1</v>
      </c>
      <c r="G1193">
        <v>8.1703871932650328E-4</v>
      </c>
    </row>
    <row r="1194" spans="1:7" x14ac:dyDescent="0.2">
      <c r="A1194" t="s">
        <v>1375</v>
      </c>
      <c r="B1194">
        <v>23.93</v>
      </c>
      <c r="C1194" s="105">
        <v>4.6348928727590673E-2</v>
      </c>
      <c r="E1194" s="149">
        <v>43874</v>
      </c>
      <c r="F1194" s="150">
        <v>7226.9</v>
      </c>
      <c r="G1194">
        <v>-2.7673617356993479E-5</v>
      </c>
    </row>
    <row r="1195" spans="1:7" x14ac:dyDescent="0.2">
      <c r="A1195" t="s">
        <v>1376</v>
      </c>
      <c r="B1195">
        <v>18.75</v>
      </c>
      <c r="C1195" s="105">
        <v>-0.21646468867530297</v>
      </c>
      <c r="E1195" s="149">
        <v>43873</v>
      </c>
      <c r="F1195" s="150">
        <v>7185.3</v>
      </c>
      <c r="G1195">
        <v>-5.7562717070942532E-3</v>
      </c>
    </row>
    <row r="1196" spans="1:7" x14ac:dyDescent="0.2">
      <c r="A1196" t="s">
        <v>1377</v>
      </c>
      <c r="B1196">
        <v>18.16</v>
      </c>
      <c r="C1196" s="105">
        <v>-3.1466666666666657E-2</v>
      </c>
      <c r="E1196" s="149">
        <v>43872</v>
      </c>
      <c r="F1196" s="150">
        <v>7181.5</v>
      </c>
      <c r="G1196">
        <v>-5.2885752856529048E-4</v>
      </c>
    </row>
    <row r="1197" spans="1:7" x14ac:dyDescent="0.2">
      <c r="A1197" t="s">
        <v>1378</v>
      </c>
      <c r="B1197">
        <v>17.98</v>
      </c>
      <c r="C1197" s="105">
        <v>-9.9118942731277384E-3</v>
      </c>
      <c r="E1197" s="149">
        <v>43871</v>
      </c>
      <c r="F1197" s="150">
        <v>7108</v>
      </c>
      <c r="G1197">
        <v>-1.0234630648193275E-2</v>
      </c>
    </row>
    <row r="1198" spans="1:7" x14ac:dyDescent="0.2">
      <c r="A1198" t="s">
        <v>1379</v>
      </c>
      <c r="B1198">
        <v>17.95</v>
      </c>
      <c r="C1198" s="105">
        <v>-1.6685205784205304E-3</v>
      </c>
      <c r="E1198" s="149">
        <v>43868</v>
      </c>
      <c r="F1198" s="150">
        <v>7121.4</v>
      </c>
      <c r="G1198">
        <v>1.8851997749014682E-3</v>
      </c>
    </row>
    <row r="1199" spans="1:7" x14ac:dyDescent="0.2">
      <c r="A1199" t="s">
        <v>1380</v>
      </c>
      <c r="B1199">
        <v>17.97</v>
      </c>
      <c r="C1199" s="105">
        <v>1.1142061281336809E-3</v>
      </c>
      <c r="E1199" s="149">
        <v>43867</v>
      </c>
      <c r="F1199" s="150">
        <v>7146.5</v>
      </c>
      <c r="G1199">
        <v>3.5245878619373106E-3</v>
      </c>
    </row>
    <row r="1200" spans="1:7" x14ac:dyDescent="0.2">
      <c r="A1200" t="s">
        <v>1381</v>
      </c>
      <c r="B1200">
        <v>17.79</v>
      </c>
      <c r="C1200" s="105">
        <v>-1.0016694490818014E-2</v>
      </c>
      <c r="E1200" s="149">
        <v>43866</v>
      </c>
      <c r="F1200" s="150">
        <v>7080.9</v>
      </c>
      <c r="G1200">
        <v>-9.1793185475408049E-3</v>
      </c>
    </row>
    <row r="1201" spans="1:7" x14ac:dyDescent="0.2">
      <c r="A1201" t="s">
        <v>1382</v>
      </c>
      <c r="B1201">
        <v>16.84</v>
      </c>
      <c r="C1201" s="105">
        <v>-5.3400786958965676E-2</v>
      </c>
      <c r="E1201" s="149">
        <v>43865</v>
      </c>
      <c r="F1201" s="150">
        <v>7047.6</v>
      </c>
      <c r="G1201">
        <v>-4.7027920179637155E-3</v>
      </c>
    </row>
    <row r="1202" spans="1:7" x14ac:dyDescent="0.2">
      <c r="A1202" t="s">
        <v>1383</v>
      </c>
      <c r="B1202">
        <v>17.07</v>
      </c>
      <c r="C1202" s="105">
        <v>1.3657957244655607E-2</v>
      </c>
      <c r="E1202" s="149">
        <v>43864</v>
      </c>
      <c r="F1202" s="150">
        <v>7019.9</v>
      </c>
      <c r="G1202">
        <v>-3.9304160281515305E-3</v>
      </c>
    </row>
    <row r="1203" spans="1:7" x14ac:dyDescent="0.2">
      <c r="A1203" t="s">
        <v>1384</v>
      </c>
      <c r="B1203">
        <v>17.52</v>
      </c>
      <c r="C1203" s="105">
        <v>2.6362038664323333E-2</v>
      </c>
      <c r="E1203" s="149">
        <v>43861</v>
      </c>
      <c r="F1203" s="150">
        <v>7121.2</v>
      </c>
      <c r="G1203">
        <v>1.4430404991524122E-2</v>
      </c>
    </row>
    <row r="1204" spans="1:7" x14ac:dyDescent="0.2">
      <c r="A1204" t="s">
        <v>1385</v>
      </c>
      <c r="B1204">
        <v>17.45</v>
      </c>
      <c r="C1204" s="105">
        <v>-3.9954337899543542E-3</v>
      </c>
      <c r="E1204" s="149">
        <v>43860</v>
      </c>
      <c r="F1204" s="150">
        <v>7108.6</v>
      </c>
      <c r="G1204">
        <v>-1.7693647138122023E-3</v>
      </c>
    </row>
    <row r="1205" spans="1:7" x14ac:dyDescent="0.2">
      <c r="A1205" t="s">
        <v>1386</v>
      </c>
      <c r="B1205">
        <v>17.7</v>
      </c>
      <c r="C1205" s="105">
        <v>1.4326647564469915E-2</v>
      </c>
      <c r="E1205" s="149">
        <v>43859</v>
      </c>
      <c r="F1205" s="150">
        <v>7135.9</v>
      </c>
      <c r="G1205">
        <v>3.8404186478349141E-3</v>
      </c>
    </row>
    <row r="1206" spans="1:7" x14ac:dyDescent="0.2">
      <c r="A1206" t="s">
        <v>1387</v>
      </c>
      <c r="B1206">
        <v>17.72</v>
      </c>
      <c r="C1206" s="105">
        <v>1.1299435028248347E-3</v>
      </c>
      <c r="E1206" s="149">
        <v>43858</v>
      </c>
      <c r="F1206" s="150">
        <v>7129.3</v>
      </c>
      <c r="G1206">
        <v>-9.2490085343116557E-4</v>
      </c>
    </row>
    <row r="1207" spans="1:7" x14ac:dyDescent="0.2">
      <c r="A1207" t="s">
        <v>1388</v>
      </c>
      <c r="B1207">
        <v>18.190000000000001</v>
      </c>
      <c r="C1207" s="105">
        <v>2.6523702031602849E-2</v>
      </c>
      <c r="E1207" s="149">
        <v>43854</v>
      </c>
      <c r="F1207" s="150">
        <v>7203.2</v>
      </c>
      <c r="G1207">
        <v>1.0365674049345608E-2</v>
      </c>
    </row>
    <row r="1208" spans="1:7" x14ac:dyDescent="0.2">
      <c r="A1208" t="s">
        <v>1389</v>
      </c>
      <c r="B1208">
        <v>18.13</v>
      </c>
      <c r="C1208" s="105">
        <v>-3.2985156679495474E-3</v>
      </c>
      <c r="E1208" s="149">
        <v>43853</v>
      </c>
      <c r="F1208" s="150">
        <v>7199</v>
      </c>
      <c r="G1208">
        <v>-5.8307418924919731E-4</v>
      </c>
    </row>
    <row r="1209" spans="1:7" x14ac:dyDescent="0.2">
      <c r="A1209" t="s">
        <v>1390</v>
      </c>
      <c r="B1209">
        <v>18.170000000000002</v>
      </c>
      <c r="C1209" s="105">
        <v>2.2062879205737838E-3</v>
      </c>
      <c r="E1209" s="149">
        <v>43852</v>
      </c>
      <c r="F1209" s="150">
        <v>7249</v>
      </c>
      <c r="G1209">
        <v>6.9454090845950823E-3</v>
      </c>
    </row>
    <row r="1210" spans="1:7" x14ac:dyDescent="0.2">
      <c r="A1210" t="s">
        <v>1391</v>
      </c>
      <c r="B1210">
        <v>17.63</v>
      </c>
      <c r="C1210" s="105">
        <v>-2.9719317556411814E-2</v>
      </c>
      <c r="E1210" s="149">
        <v>43851</v>
      </c>
      <c r="F1210" s="150">
        <v>7180.5</v>
      </c>
      <c r="G1210">
        <v>-9.4495792523106633E-3</v>
      </c>
    </row>
    <row r="1211" spans="1:7" x14ac:dyDescent="0.2">
      <c r="A1211" t="s">
        <v>1392</v>
      </c>
      <c r="B1211">
        <v>18.25</v>
      </c>
      <c r="C1211" s="105">
        <v>3.5167328417470278E-2</v>
      </c>
      <c r="E1211" s="149">
        <v>43850</v>
      </c>
      <c r="F1211" s="150">
        <v>7196.3</v>
      </c>
      <c r="G1211">
        <v>2.2004038715967107E-3</v>
      </c>
    </row>
    <row r="1212" spans="1:7" x14ac:dyDescent="0.2">
      <c r="A1212" t="s">
        <v>1393</v>
      </c>
      <c r="B1212">
        <v>18.21</v>
      </c>
      <c r="C1212" s="105">
        <v>-2.1917808219177617E-3</v>
      </c>
      <c r="E1212" s="149">
        <v>43847</v>
      </c>
      <c r="F1212" s="150">
        <v>7180.3</v>
      </c>
      <c r="G1212">
        <v>-2.2233647846810166E-3</v>
      </c>
    </row>
    <row r="1213" spans="1:7" x14ac:dyDescent="0.2">
      <c r="A1213" t="s">
        <v>1394</v>
      </c>
      <c r="B1213">
        <v>18.399999999999999</v>
      </c>
      <c r="C1213" s="105">
        <v>1.0433827567270605E-2</v>
      </c>
      <c r="E1213" s="149">
        <v>43846</v>
      </c>
      <c r="F1213" s="150">
        <v>7158.6</v>
      </c>
      <c r="G1213">
        <v>-3.0221578485578344E-3</v>
      </c>
    </row>
    <row r="1214" spans="1:7" x14ac:dyDescent="0.2">
      <c r="A1214" t="s">
        <v>1395</v>
      </c>
      <c r="B1214">
        <v>18.239999999999998</v>
      </c>
      <c r="C1214" s="105">
        <v>-8.6956521739130523E-3</v>
      </c>
      <c r="E1214" s="149">
        <v>43845</v>
      </c>
      <c r="F1214" s="150">
        <v>7113.5</v>
      </c>
      <c r="G1214">
        <v>-6.3001145475372784E-3</v>
      </c>
    </row>
    <row r="1215" spans="1:7" x14ac:dyDescent="0.2">
      <c r="A1215" t="s">
        <v>1396</v>
      </c>
      <c r="B1215">
        <v>18.48</v>
      </c>
      <c r="C1215" s="105">
        <v>1.3157894736842216E-2</v>
      </c>
      <c r="E1215" s="149">
        <v>43844</v>
      </c>
      <c r="F1215" s="150">
        <v>7078</v>
      </c>
      <c r="G1215">
        <v>-4.9905110002108665E-3</v>
      </c>
    </row>
    <row r="1216" spans="1:7" x14ac:dyDescent="0.2">
      <c r="A1216" t="s">
        <v>1397</v>
      </c>
      <c r="B1216">
        <v>18.16</v>
      </c>
      <c r="C1216" s="105">
        <v>-1.731601731601733E-2</v>
      </c>
      <c r="E1216" s="149">
        <v>43843</v>
      </c>
      <c r="F1216" s="150">
        <v>7020.2</v>
      </c>
      <c r="G1216">
        <v>-8.1661486295563981E-3</v>
      </c>
    </row>
    <row r="1217" spans="1:7" x14ac:dyDescent="0.2">
      <c r="A1217" t="s">
        <v>1398</v>
      </c>
      <c r="B1217">
        <v>18.05</v>
      </c>
      <c r="C1217" s="105">
        <v>-6.0572687224669294E-3</v>
      </c>
      <c r="E1217" s="149">
        <v>43840</v>
      </c>
      <c r="F1217" s="150">
        <v>7041.9</v>
      </c>
      <c r="G1217">
        <v>3.0910800262100536E-3</v>
      </c>
    </row>
    <row r="1218" spans="1:7" x14ac:dyDescent="0.2">
      <c r="A1218" t="s">
        <v>1399</v>
      </c>
      <c r="B1218">
        <v>17.78</v>
      </c>
      <c r="C1218" s="105">
        <v>-1.495844875346258E-2</v>
      </c>
      <c r="E1218" s="149">
        <v>43839</v>
      </c>
      <c r="F1218" s="150">
        <v>6991.4</v>
      </c>
      <c r="G1218">
        <v>-7.1713600022721147E-3</v>
      </c>
    </row>
    <row r="1219" spans="1:7" x14ac:dyDescent="0.2">
      <c r="A1219" t="s">
        <v>1400</v>
      </c>
      <c r="B1219">
        <v>17.29</v>
      </c>
      <c r="C1219" s="105">
        <v>-2.7559055118110347E-2</v>
      </c>
      <c r="E1219" s="149">
        <v>43838</v>
      </c>
      <c r="F1219" s="150">
        <v>6930.1</v>
      </c>
      <c r="G1219">
        <v>-8.7679148668362954E-3</v>
      </c>
    </row>
    <row r="1220" spans="1:7" x14ac:dyDescent="0.2">
      <c r="A1220" t="s">
        <v>1401</v>
      </c>
      <c r="B1220">
        <v>17.149999999999999</v>
      </c>
      <c r="C1220" s="105">
        <v>-8.0971659919028671E-3</v>
      </c>
      <c r="E1220" s="149">
        <v>43837</v>
      </c>
      <c r="F1220" s="150">
        <v>6943.6</v>
      </c>
      <c r="G1220">
        <v>1.9480238380398551E-3</v>
      </c>
    </row>
    <row r="1221" spans="1:7" x14ac:dyDescent="0.2">
      <c r="A1221" t="s">
        <v>1402</v>
      </c>
      <c r="B1221">
        <v>16.91</v>
      </c>
      <c r="C1221" s="105">
        <v>-1.3994169096209822E-2</v>
      </c>
      <c r="E1221" s="149">
        <v>43836</v>
      </c>
      <c r="F1221" s="150">
        <v>6857.4</v>
      </c>
      <c r="G1221">
        <v>-1.2414309580045038E-2</v>
      </c>
    </row>
    <row r="1222" spans="1:7" x14ac:dyDescent="0.2">
      <c r="A1222" t="s">
        <v>1403</v>
      </c>
      <c r="B1222">
        <v>16.88</v>
      </c>
      <c r="C1222" s="105">
        <v>-1.7740981667652949E-3</v>
      </c>
      <c r="E1222" s="149">
        <v>43833</v>
      </c>
      <c r="F1222" s="150">
        <v>6855.2</v>
      </c>
      <c r="G1222">
        <v>-3.2082130253446178E-4</v>
      </c>
    </row>
    <row r="1223" spans="1:7" x14ac:dyDescent="0.2">
      <c r="A1223" t="s">
        <v>1404</v>
      </c>
      <c r="B1223">
        <v>16.57</v>
      </c>
      <c r="C1223" s="105">
        <v>-1.8364928909952533E-2</v>
      </c>
      <c r="E1223" s="149">
        <v>43832</v>
      </c>
      <c r="F1223" s="150">
        <v>6810</v>
      </c>
      <c r="G1223">
        <v>-6.5935348348698537E-3</v>
      </c>
    </row>
    <row r="1224" spans="1:7" x14ac:dyDescent="0.2">
      <c r="A1224" t="s">
        <v>1405</v>
      </c>
      <c r="B1224">
        <v>16.39</v>
      </c>
      <c r="C1224" s="105">
        <v>-1.0863005431502698E-2</v>
      </c>
      <c r="E1224" s="149">
        <v>43830</v>
      </c>
      <c r="F1224" s="150">
        <v>6802.4</v>
      </c>
      <c r="G1224">
        <v>-1.1160058737151783E-3</v>
      </c>
    </row>
    <row r="1225" spans="1:7" x14ac:dyDescent="0.2">
      <c r="A1225" t="s">
        <v>1406</v>
      </c>
      <c r="B1225">
        <v>16.88</v>
      </c>
      <c r="C1225" s="105">
        <v>2.9896278218425772E-2</v>
      </c>
      <c r="E1225" s="149">
        <v>43829</v>
      </c>
      <c r="F1225" s="150">
        <v>6921.6</v>
      </c>
      <c r="G1225">
        <v>1.7523227096319056E-2</v>
      </c>
    </row>
    <row r="1226" spans="1:7" x14ac:dyDescent="0.2">
      <c r="A1226" t="s">
        <v>1407</v>
      </c>
      <c r="B1226">
        <v>16.54</v>
      </c>
      <c r="C1226" s="105">
        <v>-2.0142180094786723E-2</v>
      </c>
      <c r="E1226" s="149">
        <v>43826</v>
      </c>
      <c r="F1226" s="150">
        <v>6936.3</v>
      </c>
      <c r="G1226">
        <v>2.1237864077669638E-3</v>
      </c>
    </row>
    <row r="1227" spans="1:7" x14ac:dyDescent="0.2">
      <c r="A1227" t="s">
        <v>1408</v>
      </c>
      <c r="B1227">
        <v>16.489999999999998</v>
      </c>
      <c r="C1227" s="105">
        <v>-3.022974607013344E-3</v>
      </c>
      <c r="E1227" s="149">
        <v>43823</v>
      </c>
      <c r="F1227" s="150">
        <v>6906.4</v>
      </c>
      <c r="G1227">
        <v>-4.3106555368136535E-3</v>
      </c>
    </row>
    <row r="1228" spans="1:7" x14ac:dyDescent="0.2">
      <c r="A1228" t="s">
        <v>1409</v>
      </c>
      <c r="B1228">
        <v>16.37</v>
      </c>
      <c r="C1228" s="105">
        <v>-7.2771376591872321E-3</v>
      </c>
      <c r="E1228" s="149">
        <v>43822</v>
      </c>
      <c r="F1228" s="150">
        <v>6894.7</v>
      </c>
      <c r="G1228">
        <v>-1.694080852542543E-3</v>
      </c>
    </row>
    <row r="1229" spans="1:7" x14ac:dyDescent="0.2">
      <c r="A1229" t="s">
        <v>1410</v>
      </c>
      <c r="B1229">
        <v>15.93</v>
      </c>
      <c r="C1229" s="105">
        <v>-2.6878436163714187E-2</v>
      </c>
      <c r="E1229" s="149">
        <v>43819</v>
      </c>
      <c r="F1229" s="150">
        <v>6924.4</v>
      </c>
      <c r="G1229">
        <v>4.3076566057986309E-3</v>
      </c>
    </row>
    <row r="1230" spans="1:7" x14ac:dyDescent="0.2">
      <c r="A1230" t="s">
        <v>1411</v>
      </c>
      <c r="B1230">
        <v>16.059999999999999</v>
      </c>
      <c r="C1230" s="105">
        <v>8.160703075957251E-3</v>
      </c>
      <c r="E1230" s="149">
        <v>43818</v>
      </c>
      <c r="F1230" s="150">
        <v>6942.6</v>
      </c>
      <c r="G1230">
        <v>2.6283865750102143E-3</v>
      </c>
    </row>
    <row r="1231" spans="1:7" x14ac:dyDescent="0.2">
      <c r="A1231" t="s">
        <v>1412</v>
      </c>
      <c r="B1231">
        <v>16.149999999999999</v>
      </c>
      <c r="C1231" s="105">
        <v>5.6039850560398417E-3</v>
      </c>
      <c r="E1231" s="149">
        <v>43817</v>
      </c>
      <c r="F1231" s="150">
        <v>6967</v>
      </c>
      <c r="G1231">
        <v>3.5145334600869466E-3</v>
      </c>
    </row>
    <row r="1232" spans="1:7" x14ac:dyDescent="0.2">
      <c r="A1232" t="s">
        <v>1413</v>
      </c>
      <c r="B1232">
        <v>16.32</v>
      </c>
      <c r="C1232" s="105">
        <v>1.0526315789473792E-2</v>
      </c>
      <c r="E1232" s="149">
        <v>43816</v>
      </c>
      <c r="F1232" s="150">
        <v>6950.5</v>
      </c>
      <c r="G1232">
        <v>-2.368307736471939E-3</v>
      </c>
    </row>
    <row r="1233" spans="1:7" x14ac:dyDescent="0.2">
      <c r="A1233" t="s">
        <v>1414</v>
      </c>
      <c r="B1233">
        <v>16.48</v>
      </c>
      <c r="C1233" s="105">
        <v>9.8039215686274595E-3</v>
      </c>
      <c r="E1233" s="149">
        <v>43815</v>
      </c>
      <c r="F1233" s="150">
        <v>6952.3</v>
      </c>
      <c r="G1233">
        <v>2.589741745198449E-4</v>
      </c>
    </row>
    <row r="1234" spans="1:7" x14ac:dyDescent="0.2">
      <c r="A1234" t="s">
        <v>1415</v>
      </c>
      <c r="B1234">
        <v>16.100000000000001</v>
      </c>
      <c r="C1234" s="105">
        <v>-2.3058252427184404E-2</v>
      </c>
      <c r="E1234" s="149">
        <v>43812</v>
      </c>
      <c r="F1234" s="150">
        <v>6844.6</v>
      </c>
      <c r="G1234">
        <v>-1.549127626828529E-2</v>
      </c>
    </row>
    <row r="1235" spans="1:7" x14ac:dyDescent="0.2">
      <c r="A1235" t="s">
        <v>1416</v>
      </c>
      <c r="B1235">
        <v>15.65</v>
      </c>
      <c r="C1235" s="105">
        <v>-2.7950310559006274E-2</v>
      </c>
      <c r="E1235" s="149">
        <v>43811</v>
      </c>
      <c r="F1235" s="150">
        <v>6810.8</v>
      </c>
      <c r="G1235">
        <v>-4.9381994565058851E-3</v>
      </c>
    </row>
    <row r="1236" spans="1:7" x14ac:dyDescent="0.2">
      <c r="A1236" t="s">
        <v>1417</v>
      </c>
      <c r="B1236">
        <v>15.96</v>
      </c>
      <c r="C1236" s="105">
        <v>1.9808306709265207E-2</v>
      </c>
      <c r="E1236" s="149">
        <v>43810</v>
      </c>
      <c r="F1236" s="150">
        <v>6853.2</v>
      </c>
      <c r="G1236">
        <v>6.225406706994719E-3</v>
      </c>
    </row>
    <row r="1237" spans="1:7" x14ac:dyDescent="0.2">
      <c r="A1237" t="s">
        <v>1418</v>
      </c>
      <c r="B1237">
        <v>15.61</v>
      </c>
      <c r="C1237" s="105">
        <v>-2.1929824561403598E-2</v>
      </c>
      <c r="E1237" s="149">
        <v>43809</v>
      </c>
      <c r="F1237" s="150">
        <v>6812.1</v>
      </c>
      <c r="G1237">
        <v>-5.9971983890736383E-3</v>
      </c>
    </row>
    <row r="1238" spans="1:7" x14ac:dyDescent="0.2">
      <c r="A1238" t="s">
        <v>1419</v>
      </c>
      <c r="B1238">
        <v>15.78</v>
      </c>
      <c r="C1238" s="105">
        <v>1.0890454836643174E-2</v>
      </c>
      <c r="E1238" s="149">
        <v>43808</v>
      </c>
      <c r="F1238" s="150">
        <v>6836.4</v>
      </c>
      <c r="G1238">
        <v>3.5671819262781332E-3</v>
      </c>
    </row>
    <row r="1239" spans="1:7" x14ac:dyDescent="0.2">
      <c r="A1239" t="s">
        <v>1420</v>
      </c>
      <c r="B1239">
        <v>15.87</v>
      </c>
      <c r="C1239" s="105">
        <v>5.7034220532319307E-3</v>
      </c>
      <c r="E1239" s="149">
        <v>43805</v>
      </c>
      <c r="F1239" s="150">
        <v>6813.5</v>
      </c>
      <c r="G1239">
        <v>-3.3497162249136441E-3</v>
      </c>
    </row>
    <row r="1240" spans="1:7" x14ac:dyDescent="0.2">
      <c r="A1240" t="s">
        <v>1421</v>
      </c>
      <c r="B1240">
        <v>15.72</v>
      </c>
      <c r="C1240" s="105">
        <v>-9.4517958412097414E-3</v>
      </c>
      <c r="E1240" s="149">
        <v>43804</v>
      </c>
      <c r="F1240" s="150">
        <v>6791.1</v>
      </c>
      <c r="G1240">
        <v>-3.2875908123577656E-3</v>
      </c>
    </row>
    <row r="1241" spans="1:7" x14ac:dyDescent="0.2">
      <c r="A1241" t="s">
        <v>1422</v>
      </c>
      <c r="B1241">
        <v>15.34</v>
      </c>
      <c r="C1241" s="105">
        <v>-2.4173027989821932E-2</v>
      </c>
      <c r="E1241" s="149">
        <v>43803</v>
      </c>
      <c r="F1241" s="150">
        <v>6714.4</v>
      </c>
      <c r="G1241">
        <v>-1.1294193871390603E-2</v>
      </c>
    </row>
    <row r="1242" spans="1:7" x14ac:dyDescent="0.2">
      <c r="A1242" t="s">
        <v>1423</v>
      </c>
      <c r="B1242">
        <v>15.75</v>
      </c>
      <c r="C1242" s="105">
        <v>2.6727509778357247E-2</v>
      </c>
      <c r="E1242" s="149">
        <v>43802</v>
      </c>
      <c r="F1242" s="150">
        <v>6818.4</v>
      </c>
      <c r="G1242">
        <v>1.5489098057905399E-2</v>
      </c>
    </row>
    <row r="1243" spans="1:7" x14ac:dyDescent="0.2">
      <c r="A1243" t="s">
        <v>1424</v>
      </c>
      <c r="B1243">
        <v>16.420000000000002</v>
      </c>
      <c r="C1243" s="105">
        <v>4.2539682539682648E-2</v>
      </c>
      <c r="E1243" s="149">
        <v>43801</v>
      </c>
      <c r="F1243" s="150">
        <v>6965.3</v>
      </c>
      <c r="G1243">
        <v>2.1544643904728464E-2</v>
      </c>
    </row>
    <row r="1244" spans="1:7" x14ac:dyDescent="0.2">
      <c r="A1244" t="s">
        <v>1425</v>
      </c>
      <c r="B1244">
        <v>16.11</v>
      </c>
      <c r="C1244" s="105">
        <v>-1.8879415347137773E-2</v>
      </c>
      <c r="E1244" s="149">
        <v>43798</v>
      </c>
      <c r="F1244" s="150">
        <v>6948</v>
      </c>
      <c r="G1244">
        <v>-2.4837408295407494E-3</v>
      </c>
    </row>
    <row r="1245" spans="1:7" x14ac:dyDescent="0.2">
      <c r="A1245" t="s">
        <v>1426</v>
      </c>
      <c r="B1245">
        <v>16.22</v>
      </c>
      <c r="C1245" s="105">
        <v>6.8280571073866814E-3</v>
      </c>
      <c r="E1245" s="149">
        <v>43797</v>
      </c>
      <c r="F1245" s="150">
        <v>6965.6</v>
      </c>
      <c r="G1245">
        <v>2.5331030512378188E-3</v>
      </c>
    </row>
    <row r="1246" spans="1:7" x14ac:dyDescent="0.2">
      <c r="A1246" t="s">
        <v>1427</v>
      </c>
      <c r="B1246">
        <v>16.22</v>
      </c>
      <c r="C1246" s="105">
        <v>0</v>
      </c>
      <c r="E1246" s="149">
        <v>43796</v>
      </c>
      <c r="F1246" s="150">
        <v>6950.6</v>
      </c>
      <c r="G1246">
        <v>-2.1534397611117492E-3</v>
      </c>
    </row>
    <row r="1247" spans="1:7" x14ac:dyDescent="0.2">
      <c r="A1247" t="s">
        <v>1428</v>
      </c>
      <c r="B1247">
        <v>16.2</v>
      </c>
      <c r="C1247" s="105">
        <v>-1.2330456226880132E-3</v>
      </c>
      <c r="E1247" s="149">
        <v>43795</v>
      </c>
      <c r="F1247" s="150">
        <v>6889.8</v>
      </c>
      <c r="G1247">
        <v>-8.7474462636319417E-3</v>
      </c>
    </row>
    <row r="1248" spans="1:7" x14ac:dyDescent="0.2">
      <c r="A1248" t="s">
        <v>1429</v>
      </c>
      <c r="B1248">
        <v>16.059999999999999</v>
      </c>
      <c r="C1248" s="105">
        <v>-8.6419753086420109E-3</v>
      </c>
      <c r="E1248" s="149">
        <v>43794</v>
      </c>
      <c r="F1248" s="150">
        <v>6835.6</v>
      </c>
      <c r="G1248">
        <v>-7.8667015007692267E-3</v>
      </c>
    </row>
    <row r="1249" spans="1:7" x14ac:dyDescent="0.2">
      <c r="A1249" t="s">
        <v>1430</v>
      </c>
      <c r="B1249">
        <v>16.18</v>
      </c>
      <c r="C1249" s="105">
        <v>7.4719800747198636E-3</v>
      </c>
      <c r="E1249" s="149">
        <v>43791</v>
      </c>
      <c r="F1249" s="150">
        <v>6816.5</v>
      </c>
      <c r="G1249">
        <v>-2.7941950962608055E-3</v>
      </c>
    </row>
    <row r="1250" spans="1:7" x14ac:dyDescent="0.2">
      <c r="A1250" t="s">
        <v>1431</v>
      </c>
      <c r="B1250">
        <v>16.29</v>
      </c>
      <c r="C1250" s="105">
        <v>6.7985166872681973E-3</v>
      </c>
      <c r="E1250" s="149">
        <v>43790</v>
      </c>
      <c r="F1250" s="150">
        <v>6777.7</v>
      </c>
      <c r="G1250">
        <v>-5.6920707107753514E-3</v>
      </c>
    </row>
    <row r="1251" spans="1:7" x14ac:dyDescent="0.2">
      <c r="A1251" t="s">
        <v>1432</v>
      </c>
      <c r="B1251">
        <v>15.94</v>
      </c>
      <c r="C1251" s="105">
        <v>-2.1485573971761797E-2</v>
      </c>
      <c r="E1251" s="149">
        <v>43789</v>
      </c>
      <c r="F1251" s="150">
        <v>6828.3</v>
      </c>
      <c r="G1251">
        <v>7.4656594419936504E-3</v>
      </c>
    </row>
    <row r="1252" spans="1:7" x14ac:dyDescent="0.2">
      <c r="A1252" t="s">
        <v>1433</v>
      </c>
      <c r="B1252">
        <v>16.27</v>
      </c>
      <c r="C1252" s="105">
        <v>2.0702634880803015E-2</v>
      </c>
      <c r="E1252" s="149">
        <v>43788</v>
      </c>
      <c r="F1252" s="150">
        <v>6914.1</v>
      </c>
      <c r="G1252">
        <v>1.2565353016124098E-2</v>
      </c>
    </row>
    <row r="1253" spans="1:7" x14ac:dyDescent="0.2">
      <c r="A1253" t="s">
        <v>1434</v>
      </c>
      <c r="B1253">
        <v>16.260000000000002</v>
      </c>
      <c r="C1253" s="105">
        <v>-6.1462814996914635E-4</v>
      </c>
      <c r="E1253" s="149">
        <v>43787</v>
      </c>
      <c r="F1253" s="150">
        <v>6871.7</v>
      </c>
      <c r="G1253">
        <v>-6.1323961180776302E-3</v>
      </c>
    </row>
    <row r="1254" spans="1:7" x14ac:dyDescent="0.2">
      <c r="A1254" t="s">
        <v>1435</v>
      </c>
      <c r="B1254">
        <v>16.420000000000002</v>
      </c>
      <c r="C1254" s="105">
        <v>9.8400984009840171E-3</v>
      </c>
      <c r="E1254" s="149">
        <v>43784</v>
      </c>
      <c r="F1254" s="150">
        <v>6898.9</v>
      </c>
      <c r="G1254">
        <v>3.9582636028929986E-3</v>
      </c>
    </row>
    <row r="1255" spans="1:7" x14ac:dyDescent="0.2">
      <c r="A1255" t="s">
        <v>1436</v>
      </c>
      <c r="B1255">
        <v>16.420000000000002</v>
      </c>
      <c r="C1255" s="105">
        <v>0</v>
      </c>
      <c r="E1255" s="149">
        <v>43783</v>
      </c>
      <c r="F1255" s="150">
        <v>6840.8</v>
      </c>
      <c r="G1255">
        <v>-8.4216324341560914E-3</v>
      </c>
    </row>
    <row r="1256" spans="1:7" x14ac:dyDescent="0.2">
      <c r="A1256" t="s">
        <v>1437</v>
      </c>
      <c r="B1256">
        <v>15.67</v>
      </c>
      <c r="C1256" s="105">
        <v>-4.5676004872107288E-2</v>
      </c>
      <c r="E1256" s="149">
        <v>43782</v>
      </c>
      <c r="F1256" s="150">
        <v>6805.6</v>
      </c>
      <c r="G1256">
        <v>-5.1455970061980785E-3</v>
      </c>
    </row>
    <row r="1257" spans="1:7" x14ac:dyDescent="0.2">
      <c r="A1257" t="s">
        <v>1438</v>
      </c>
      <c r="B1257">
        <v>15.29</v>
      </c>
      <c r="C1257" s="105">
        <v>-2.4250159540523342E-2</v>
      </c>
      <c r="E1257" s="149">
        <v>43781</v>
      </c>
      <c r="F1257" s="150">
        <v>6857.1</v>
      </c>
      <c r="G1257">
        <v>7.5672975196896669E-3</v>
      </c>
    </row>
    <row r="1258" spans="1:7" x14ac:dyDescent="0.2">
      <c r="A1258" t="s">
        <v>1439</v>
      </c>
      <c r="B1258">
        <v>15.25</v>
      </c>
      <c r="C1258" s="105">
        <v>-2.6160889470241431E-3</v>
      </c>
      <c r="E1258" s="149">
        <v>43780</v>
      </c>
      <c r="F1258" s="150">
        <v>6877</v>
      </c>
      <c r="G1258">
        <v>2.9021014714674769E-3</v>
      </c>
    </row>
    <row r="1259" spans="1:7" x14ac:dyDescent="0.2">
      <c r="A1259" t="s">
        <v>1440</v>
      </c>
      <c r="B1259">
        <v>15.04</v>
      </c>
      <c r="C1259" s="105">
        <v>-1.3770491803278745E-2</v>
      </c>
      <c r="E1259" s="149">
        <v>43777</v>
      </c>
      <c r="F1259" s="150">
        <v>6833.2</v>
      </c>
      <c r="G1259">
        <v>-6.3690562745383423E-3</v>
      </c>
    </row>
    <row r="1260" spans="1:7" x14ac:dyDescent="0.2">
      <c r="A1260" t="s">
        <v>1441</v>
      </c>
      <c r="B1260">
        <v>15.08</v>
      </c>
      <c r="C1260" s="105">
        <v>2.6595744680851679E-3</v>
      </c>
      <c r="E1260" s="149">
        <v>43776</v>
      </c>
      <c r="F1260" s="150">
        <v>6836.9</v>
      </c>
      <c r="G1260">
        <v>5.4147397998007061E-4</v>
      </c>
    </row>
    <row r="1261" spans="1:7" x14ac:dyDescent="0.2">
      <c r="A1261" t="s">
        <v>1442</v>
      </c>
      <c r="B1261">
        <v>14.96</v>
      </c>
      <c r="C1261" s="105">
        <v>-7.9575596816975607E-3</v>
      </c>
      <c r="E1261" s="149">
        <v>43775</v>
      </c>
      <c r="F1261" s="150">
        <v>6773.2</v>
      </c>
      <c r="G1261">
        <v>-9.317088153987893E-3</v>
      </c>
    </row>
    <row r="1262" spans="1:7" x14ac:dyDescent="0.2">
      <c r="A1262" t="s">
        <v>1443</v>
      </c>
      <c r="B1262">
        <v>15.02</v>
      </c>
      <c r="C1262" s="105">
        <v>4.0106951871656899E-3</v>
      </c>
      <c r="E1262" s="149">
        <v>43774</v>
      </c>
      <c r="F1262" s="150">
        <v>6811.6</v>
      </c>
      <c r="G1262">
        <v>5.669402941002856E-3</v>
      </c>
    </row>
    <row r="1263" spans="1:7" x14ac:dyDescent="0.2">
      <c r="A1263" t="s">
        <v>1444</v>
      </c>
      <c r="B1263">
        <v>14.92</v>
      </c>
      <c r="C1263" s="105">
        <v>-6.6577896138481788E-3</v>
      </c>
      <c r="E1263" s="149">
        <v>43773</v>
      </c>
      <c r="F1263" s="150">
        <v>6799.8</v>
      </c>
      <c r="G1263">
        <v>-1.7323389512009192E-3</v>
      </c>
    </row>
    <row r="1264" spans="1:7" x14ac:dyDescent="0.2">
      <c r="A1264" t="s">
        <v>1445</v>
      </c>
      <c r="B1264">
        <v>14.64</v>
      </c>
      <c r="C1264" s="105">
        <v>-1.8766756032171539E-2</v>
      </c>
      <c r="E1264" s="149">
        <v>43770</v>
      </c>
      <c r="F1264" s="150">
        <v>6779.1</v>
      </c>
      <c r="G1264">
        <v>-3.0442071825641662E-3</v>
      </c>
    </row>
    <row r="1265" spans="1:7" x14ac:dyDescent="0.2">
      <c r="A1265" t="s">
        <v>1446</v>
      </c>
      <c r="B1265">
        <v>14.4</v>
      </c>
      <c r="C1265" s="105">
        <v>-1.6393442622950834E-2</v>
      </c>
      <c r="E1265" s="149">
        <v>43769</v>
      </c>
      <c r="F1265" s="150">
        <v>6772.9</v>
      </c>
      <c r="G1265">
        <v>-9.1457568113772147E-4</v>
      </c>
    </row>
    <row r="1266" spans="1:7" x14ac:dyDescent="0.2">
      <c r="A1266" t="s">
        <v>1447</v>
      </c>
      <c r="B1266">
        <v>14.27</v>
      </c>
      <c r="C1266" s="105">
        <v>-9.0277777777778324E-3</v>
      </c>
      <c r="E1266" s="149">
        <v>43768</v>
      </c>
      <c r="F1266" s="150">
        <v>6794.7</v>
      </c>
      <c r="G1266">
        <v>3.2187098584063227E-3</v>
      </c>
    </row>
    <row r="1267" spans="1:7" x14ac:dyDescent="0.2">
      <c r="A1267" t="s">
        <v>1448</v>
      </c>
      <c r="B1267">
        <v>13.96</v>
      </c>
      <c r="C1267" s="105">
        <v>-2.1723896285914417E-2</v>
      </c>
      <c r="E1267" s="149">
        <v>43767</v>
      </c>
      <c r="F1267" s="150">
        <v>6848.5</v>
      </c>
      <c r="G1267">
        <v>7.9179360383828841E-3</v>
      </c>
    </row>
    <row r="1268" spans="1:7" x14ac:dyDescent="0.2">
      <c r="A1268" t="s">
        <v>1449</v>
      </c>
      <c r="B1268">
        <v>13.98</v>
      </c>
      <c r="C1268" s="105">
        <v>1.4326647564469608E-3</v>
      </c>
      <c r="E1268" s="149">
        <v>43766</v>
      </c>
      <c r="F1268" s="150">
        <v>6842.5</v>
      </c>
      <c r="G1268">
        <v>-8.761042564065124E-4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21650-BCB3-1D4E-9465-22E16A10E533}">
  <dimension ref="A1:G1000"/>
  <sheetViews>
    <sheetView zoomScale="240" workbookViewId="0">
      <selection activeCell="G13" sqref="G13"/>
    </sheetView>
  </sheetViews>
  <sheetFormatPr baseColWidth="10" defaultColWidth="12.6640625" defaultRowHeight="16" x14ac:dyDescent="0.2"/>
  <cols>
    <col min="1" max="1" width="18.6640625" customWidth="1"/>
    <col min="2" max="2" width="10.1640625" customWidth="1"/>
    <col min="3" max="3" width="9.5" customWidth="1"/>
    <col min="4" max="4" width="9.6640625" customWidth="1"/>
    <col min="5" max="6" width="10.1640625" customWidth="1"/>
    <col min="7" max="26" width="10" customWidth="1"/>
  </cols>
  <sheetData>
    <row r="1" spans="1:7" x14ac:dyDescent="0.2">
      <c r="A1" s="192" t="s">
        <v>0</v>
      </c>
      <c r="B1" s="193">
        <v>2025</v>
      </c>
      <c r="C1" s="193">
        <v>2026</v>
      </c>
      <c r="D1" s="193">
        <v>2027</v>
      </c>
      <c r="E1" s="193">
        <v>2028</v>
      </c>
      <c r="F1" s="193">
        <v>2029</v>
      </c>
      <c r="G1" s="194" t="s">
        <v>1491</v>
      </c>
    </row>
    <row r="2" spans="1:7" x14ac:dyDescent="0.2">
      <c r="A2" s="195" t="str">
        <f>'[1]Forecasting '!A14</f>
        <v>NPAT</v>
      </c>
      <c r="B2" s="157">
        <f>'Forecasting '!B12</f>
        <v>132.81307215651842</v>
      </c>
      <c r="C2" s="157">
        <f>'Forecasting '!C12</f>
        <v>143.73754742314358</v>
      </c>
      <c r="D2" s="157">
        <f>'Forecasting '!D12</f>
        <v>155.54826723982112</v>
      </c>
      <c r="E2" s="157">
        <f>'Forecasting '!E12</f>
        <v>168.31662263170421</v>
      </c>
      <c r="F2" s="157">
        <f>'Forecasting '!F12</f>
        <v>182.1197355644039</v>
      </c>
      <c r="G2" s="98"/>
    </row>
    <row r="3" spans="1:7" x14ac:dyDescent="0.2">
      <c r="A3" s="195" t="s">
        <v>1482</v>
      </c>
      <c r="B3" s="158">
        <f>Ratios!K38</f>
        <v>0.39903264812575573</v>
      </c>
      <c r="C3" s="157"/>
      <c r="D3" s="157"/>
      <c r="E3" s="157"/>
      <c r="F3" s="157"/>
      <c r="G3" s="98"/>
    </row>
    <row r="4" spans="1:7" x14ac:dyDescent="0.2">
      <c r="A4" s="195" t="s">
        <v>1483</v>
      </c>
      <c r="B4" s="158">
        <f>'Cost of Capital '!B6</f>
        <v>0.10286406077912943</v>
      </c>
      <c r="C4" s="157"/>
      <c r="D4" s="157"/>
      <c r="E4" s="157"/>
      <c r="F4" s="157"/>
      <c r="G4" s="98"/>
    </row>
    <row r="5" spans="1:7" x14ac:dyDescent="0.2">
      <c r="A5" s="195" t="s">
        <v>1484</v>
      </c>
      <c r="B5" s="157">
        <v>143.430691</v>
      </c>
      <c r="C5" s="157"/>
      <c r="D5" s="157"/>
      <c r="E5" s="157"/>
      <c r="F5" s="157"/>
      <c r="G5" s="98"/>
    </row>
    <row r="6" spans="1:7" x14ac:dyDescent="0.2">
      <c r="A6" s="195" t="s">
        <v>1485</v>
      </c>
      <c r="B6" s="162">
        <v>2.5000000000000001E-2</v>
      </c>
      <c r="C6" s="157"/>
      <c r="D6" s="157"/>
      <c r="E6" s="157"/>
      <c r="F6" s="157"/>
      <c r="G6" s="98"/>
    </row>
    <row r="7" spans="1:7" x14ac:dyDescent="0.2">
      <c r="A7" s="195" t="s">
        <v>1486</v>
      </c>
      <c r="B7" s="157">
        <f>B2*$B$3</f>
        <v>52.996751888332618</v>
      </c>
      <c r="C7" s="157">
        <f>C2*$B$3</f>
        <v>57.355974183358377</v>
      </c>
      <c r="D7" s="157">
        <f>D2*$B$3</f>
        <v>62.068836988078559</v>
      </c>
      <c r="E7" s="157">
        <f>E2*$B$3</f>
        <v>67.163827652312435</v>
      </c>
      <c r="F7" s="157">
        <f>F2*$B$3</f>
        <v>72.671720358226466</v>
      </c>
      <c r="G7" s="196">
        <f>F2*(1+B6)*B3/(B4-B6)</f>
        <v>956.64819715064095</v>
      </c>
    </row>
    <row r="8" spans="1:7" x14ac:dyDescent="0.2">
      <c r="A8" s="195" t="s">
        <v>1487</v>
      </c>
      <c r="B8" s="159">
        <v>1</v>
      </c>
      <c r="C8" s="159">
        <v>2</v>
      </c>
      <c r="D8" s="159">
        <v>3</v>
      </c>
      <c r="E8" s="159">
        <v>4</v>
      </c>
      <c r="F8" s="159">
        <v>5</v>
      </c>
      <c r="G8" s="197"/>
    </row>
    <row r="9" spans="1:7" x14ac:dyDescent="0.2">
      <c r="A9" s="195" t="s">
        <v>1488</v>
      </c>
      <c r="B9" s="157">
        <f>PV($B$4,B8,,-B7)</f>
        <v>48.053748211626854</v>
      </c>
      <c r="C9" s="157">
        <f>PV($B$4,C8,,-C7)</f>
        <v>47.155753795994322</v>
      </c>
      <c r="D9" s="157">
        <f>PV($B$4,D8,,-D7)</f>
        <v>46.270868827463275</v>
      </c>
      <c r="E9" s="157">
        <f>PV($B$4,E8,,-E7)</f>
        <v>45.399126867363478</v>
      </c>
      <c r="F9" s="157">
        <f>PV($B$4,F8,,-F7)</f>
        <v>44.540544177153222</v>
      </c>
      <c r="G9" s="196">
        <f>PV($B$4,F8,,-G7)</f>
        <v>586.33029570709323</v>
      </c>
    </row>
    <row r="10" spans="1:7" x14ac:dyDescent="0.2">
      <c r="A10" s="198" t="s">
        <v>1489</v>
      </c>
      <c r="B10" s="161">
        <f>SUM(B9:G9)</f>
        <v>817.75033758669429</v>
      </c>
      <c r="C10" s="157"/>
      <c r="D10" s="157"/>
      <c r="E10" s="157"/>
      <c r="F10" s="157"/>
      <c r="G10" s="98"/>
    </row>
    <row r="11" spans="1:7" ht="17" thickBot="1" x14ac:dyDescent="0.25">
      <c r="A11" s="200" t="s">
        <v>1490</v>
      </c>
      <c r="B11" s="201">
        <f>B10/B5</f>
        <v>5.7013623227032655</v>
      </c>
      <c r="C11" s="199"/>
      <c r="D11" s="199"/>
      <c r="E11" s="199"/>
      <c r="F11" s="199"/>
      <c r="G11" s="100"/>
    </row>
    <row r="12" spans="1:7" x14ac:dyDescent="0.2">
      <c r="B12" s="157"/>
      <c r="C12" s="157"/>
      <c r="D12" s="157"/>
      <c r="E12" s="157"/>
      <c r="F12" s="157"/>
    </row>
    <row r="13" spans="1:7" x14ac:dyDescent="0.2">
      <c r="B13" s="157"/>
      <c r="C13" s="157"/>
      <c r="D13" s="157"/>
      <c r="E13" s="157"/>
      <c r="F13" s="157"/>
    </row>
    <row r="14" spans="1:7" x14ac:dyDescent="0.2">
      <c r="B14" s="157"/>
      <c r="C14" s="157"/>
      <c r="D14" s="157"/>
      <c r="E14" s="157"/>
      <c r="F14" s="157"/>
    </row>
    <row r="15" spans="1:7" x14ac:dyDescent="0.2">
      <c r="B15" s="157"/>
      <c r="C15" s="157"/>
      <c r="D15" s="157"/>
      <c r="E15" s="157"/>
      <c r="F15" s="157"/>
    </row>
    <row r="16" spans="1:7" x14ac:dyDescent="0.2">
      <c r="B16" s="157"/>
      <c r="C16" s="157"/>
      <c r="D16" s="157"/>
      <c r="E16" s="157"/>
      <c r="F16" s="157"/>
    </row>
    <row r="17" spans="2:6" x14ac:dyDescent="0.2">
      <c r="B17" s="157"/>
      <c r="C17" s="157"/>
      <c r="D17" s="157"/>
      <c r="E17" s="157"/>
      <c r="F17" s="157"/>
    </row>
    <row r="18" spans="2:6" x14ac:dyDescent="0.2">
      <c r="B18" s="157"/>
      <c r="C18" s="157"/>
      <c r="D18" s="157"/>
      <c r="E18" s="157"/>
      <c r="F18" s="157"/>
    </row>
    <row r="19" spans="2:6" x14ac:dyDescent="0.2">
      <c r="B19" s="157"/>
      <c r="C19" s="157"/>
      <c r="D19" s="157"/>
      <c r="E19" s="157"/>
      <c r="F19" s="157"/>
    </row>
    <row r="20" spans="2:6" x14ac:dyDescent="0.2">
      <c r="B20" s="157"/>
      <c r="C20" s="157"/>
      <c r="D20" s="157"/>
      <c r="E20" s="157"/>
      <c r="F20" s="157"/>
    </row>
    <row r="21" spans="2:6" ht="15.75" customHeight="1" x14ac:dyDescent="0.2">
      <c r="B21" s="157"/>
      <c r="C21" s="157"/>
      <c r="D21" s="157"/>
      <c r="E21" s="157"/>
      <c r="F21" s="157"/>
    </row>
    <row r="22" spans="2:6" ht="15.75" customHeight="1" x14ac:dyDescent="0.2">
      <c r="B22" s="157"/>
      <c r="C22" s="157"/>
      <c r="D22" s="157"/>
      <c r="E22" s="157"/>
      <c r="F22" s="157"/>
    </row>
    <row r="23" spans="2:6" ht="15.75" customHeight="1" x14ac:dyDescent="0.2">
      <c r="B23" s="157"/>
      <c r="C23" s="157"/>
      <c r="D23" s="157"/>
      <c r="E23" s="157"/>
      <c r="F23" s="157"/>
    </row>
    <row r="24" spans="2:6" ht="15.75" customHeight="1" x14ac:dyDescent="0.2">
      <c r="B24" s="157"/>
      <c r="C24" s="157"/>
      <c r="D24" s="157"/>
      <c r="E24" s="157"/>
      <c r="F24" s="157"/>
    </row>
    <row r="25" spans="2:6" ht="15.75" customHeight="1" x14ac:dyDescent="0.2">
      <c r="B25" s="157"/>
      <c r="C25" s="157"/>
      <c r="D25" s="157"/>
      <c r="E25" s="157"/>
      <c r="F25" s="157"/>
    </row>
    <row r="26" spans="2:6" ht="15.75" customHeight="1" x14ac:dyDescent="0.2">
      <c r="B26" s="157"/>
      <c r="C26" s="157"/>
      <c r="D26" s="157"/>
      <c r="E26" s="157"/>
      <c r="F26" s="157"/>
    </row>
    <row r="27" spans="2:6" ht="15.75" customHeight="1" x14ac:dyDescent="0.2">
      <c r="B27" s="157"/>
      <c r="C27" s="157"/>
      <c r="D27" s="157"/>
      <c r="E27" s="157"/>
      <c r="F27" s="157"/>
    </row>
    <row r="28" spans="2:6" ht="15.75" customHeight="1" x14ac:dyDescent="0.2">
      <c r="B28" s="157"/>
      <c r="C28" s="157"/>
      <c r="D28" s="157"/>
      <c r="E28" s="157"/>
      <c r="F28" s="157"/>
    </row>
    <row r="29" spans="2:6" ht="15.75" customHeight="1" x14ac:dyDescent="0.2">
      <c r="B29" s="157"/>
      <c r="C29" s="157"/>
      <c r="D29" s="157"/>
      <c r="E29" s="157"/>
      <c r="F29" s="157"/>
    </row>
    <row r="30" spans="2:6" ht="15.75" customHeight="1" x14ac:dyDescent="0.2">
      <c r="B30" s="157"/>
      <c r="C30" s="157"/>
      <c r="D30" s="157"/>
      <c r="E30" s="157"/>
      <c r="F30" s="157"/>
    </row>
    <row r="31" spans="2:6" ht="15.75" customHeight="1" x14ac:dyDescent="0.2">
      <c r="B31" s="157"/>
      <c r="C31" s="157"/>
      <c r="D31" s="157"/>
      <c r="E31" s="157"/>
      <c r="F31" s="157"/>
    </row>
    <row r="32" spans="2:6" ht="15.75" customHeight="1" x14ac:dyDescent="0.2">
      <c r="B32" s="157"/>
      <c r="C32" s="157"/>
      <c r="D32" s="157"/>
      <c r="E32" s="157"/>
      <c r="F32" s="157"/>
    </row>
    <row r="33" spans="2:6" ht="15.75" customHeight="1" x14ac:dyDescent="0.2">
      <c r="B33" s="157"/>
      <c r="C33" s="157"/>
      <c r="D33" s="157"/>
      <c r="E33" s="157"/>
      <c r="F33" s="157"/>
    </row>
    <row r="34" spans="2:6" ht="15.75" customHeight="1" x14ac:dyDescent="0.2">
      <c r="B34" s="157"/>
      <c r="C34" s="157"/>
      <c r="D34" s="157"/>
      <c r="E34" s="157"/>
      <c r="F34" s="157"/>
    </row>
    <row r="35" spans="2:6" ht="15.75" customHeight="1" x14ac:dyDescent="0.2">
      <c r="B35" s="157"/>
      <c r="C35" s="157"/>
      <c r="D35" s="157"/>
      <c r="E35" s="157"/>
      <c r="F35" s="157"/>
    </row>
    <row r="36" spans="2:6" ht="15.75" customHeight="1" x14ac:dyDescent="0.2">
      <c r="B36" s="157"/>
      <c r="C36" s="157"/>
      <c r="D36" s="157"/>
      <c r="E36" s="157"/>
      <c r="F36" s="157"/>
    </row>
    <row r="37" spans="2:6" ht="15.75" customHeight="1" x14ac:dyDescent="0.2">
      <c r="B37" s="157"/>
      <c r="C37" s="157"/>
      <c r="D37" s="157"/>
      <c r="E37" s="157"/>
      <c r="F37" s="157"/>
    </row>
    <row r="38" spans="2:6" ht="15.75" customHeight="1" x14ac:dyDescent="0.2">
      <c r="B38" s="157"/>
      <c r="C38" s="157"/>
      <c r="D38" s="157"/>
      <c r="E38" s="157"/>
      <c r="F38" s="157"/>
    </row>
    <row r="39" spans="2:6" ht="15.75" customHeight="1" x14ac:dyDescent="0.2">
      <c r="B39" s="157"/>
      <c r="C39" s="157"/>
      <c r="D39" s="157"/>
      <c r="E39" s="157"/>
      <c r="F39" s="157"/>
    </row>
    <row r="40" spans="2:6" ht="15.75" customHeight="1" x14ac:dyDescent="0.2">
      <c r="B40" s="157"/>
      <c r="C40" s="157"/>
      <c r="D40" s="157"/>
      <c r="E40" s="157"/>
      <c r="F40" s="157"/>
    </row>
    <row r="41" spans="2:6" ht="15.75" customHeight="1" x14ac:dyDescent="0.2">
      <c r="B41" s="157"/>
      <c r="C41" s="157"/>
      <c r="D41" s="157"/>
      <c r="E41" s="157"/>
      <c r="F41" s="157"/>
    </row>
    <row r="42" spans="2:6" ht="15.75" customHeight="1" x14ac:dyDescent="0.2">
      <c r="B42" s="157"/>
      <c r="C42" s="157"/>
      <c r="D42" s="157"/>
      <c r="E42" s="157"/>
      <c r="F42" s="157"/>
    </row>
    <row r="43" spans="2:6" ht="15.75" customHeight="1" x14ac:dyDescent="0.2">
      <c r="B43" s="157"/>
      <c r="C43" s="157"/>
      <c r="D43" s="157"/>
      <c r="E43" s="157"/>
      <c r="F43" s="157"/>
    </row>
    <row r="44" spans="2:6" ht="15.75" customHeight="1" x14ac:dyDescent="0.2">
      <c r="B44" s="157"/>
      <c r="C44" s="157"/>
      <c r="D44" s="157"/>
      <c r="E44" s="157"/>
      <c r="F44" s="157"/>
    </row>
    <row r="45" spans="2:6" ht="15.75" customHeight="1" x14ac:dyDescent="0.2">
      <c r="B45" s="157"/>
      <c r="C45" s="157"/>
      <c r="D45" s="157"/>
      <c r="E45" s="157"/>
      <c r="F45" s="157"/>
    </row>
    <row r="46" spans="2:6" ht="15.75" customHeight="1" x14ac:dyDescent="0.2">
      <c r="B46" s="157"/>
      <c r="C46" s="157"/>
      <c r="D46" s="157"/>
      <c r="E46" s="157"/>
      <c r="F46" s="157"/>
    </row>
    <row r="47" spans="2:6" ht="15.75" customHeight="1" x14ac:dyDescent="0.2">
      <c r="B47" s="157"/>
      <c r="C47" s="157"/>
      <c r="D47" s="157"/>
      <c r="E47" s="157"/>
      <c r="F47" s="157"/>
    </row>
    <row r="48" spans="2:6" ht="15.75" customHeight="1" x14ac:dyDescent="0.2">
      <c r="B48" s="157"/>
      <c r="C48" s="157"/>
      <c r="D48" s="157"/>
      <c r="E48" s="157"/>
      <c r="F48" s="157"/>
    </row>
    <row r="49" spans="2:6" ht="15.75" customHeight="1" x14ac:dyDescent="0.2">
      <c r="B49" s="157"/>
      <c r="C49" s="157"/>
      <c r="D49" s="157"/>
      <c r="E49" s="157"/>
      <c r="F49" s="157"/>
    </row>
    <row r="50" spans="2:6" ht="15.75" customHeight="1" x14ac:dyDescent="0.2">
      <c r="B50" s="157"/>
      <c r="C50" s="157"/>
      <c r="D50" s="157"/>
      <c r="E50" s="157"/>
      <c r="F50" s="157"/>
    </row>
    <row r="51" spans="2:6" ht="15.75" customHeight="1" x14ac:dyDescent="0.2">
      <c r="B51" s="157"/>
      <c r="C51" s="157"/>
      <c r="D51" s="157"/>
      <c r="E51" s="157"/>
      <c r="F51" s="157"/>
    </row>
    <row r="52" spans="2:6" ht="15.75" customHeight="1" x14ac:dyDescent="0.2">
      <c r="B52" s="157"/>
      <c r="C52" s="157"/>
      <c r="D52" s="157"/>
      <c r="E52" s="157"/>
      <c r="F52" s="157"/>
    </row>
    <row r="53" spans="2:6" ht="15.75" customHeight="1" x14ac:dyDescent="0.2">
      <c r="B53" s="157"/>
      <c r="C53" s="157"/>
      <c r="D53" s="157"/>
      <c r="E53" s="157"/>
      <c r="F53" s="157"/>
    </row>
    <row r="54" spans="2:6" ht="15.75" customHeight="1" x14ac:dyDescent="0.2">
      <c r="B54" s="157"/>
      <c r="C54" s="157"/>
      <c r="D54" s="157"/>
      <c r="E54" s="157"/>
      <c r="F54" s="157"/>
    </row>
    <row r="55" spans="2:6" ht="15.75" customHeight="1" x14ac:dyDescent="0.2">
      <c r="B55" s="157"/>
      <c r="C55" s="157"/>
      <c r="D55" s="157"/>
      <c r="E55" s="157"/>
      <c r="F55" s="157"/>
    </row>
    <row r="56" spans="2:6" ht="15.75" customHeight="1" x14ac:dyDescent="0.2">
      <c r="B56" s="157"/>
      <c r="C56" s="157"/>
      <c r="D56" s="157"/>
      <c r="E56" s="157"/>
      <c r="F56" s="157"/>
    </row>
    <row r="57" spans="2:6" ht="15.75" customHeight="1" x14ac:dyDescent="0.2">
      <c r="B57" s="157"/>
      <c r="C57" s="157"/>
      <c r="D57" s="157"/>
      <c r="E57" s="157"/>
      <c r="F57" s="157"/>
    </row>
    <row r="58" spans="2:6" ht="15.75" customHeight="1" x14ac:dyDescent="0.2">
      <c r="B58" s="157"/>
      <c r="C58" s="157"/>
      <c r="D58" s="157"/>
      <c r="E58" s="157"/>
      <c r="F58" s="157"/>
    </row>
    <row r="59" spans="2:6" ht="15.75" customHeight="1" x14ac:dyDescent="0.2">
      <c r="B59" s="157"/>
      <c r="C59" s="157"/>
      <c r="D59" s="157"/>
      <c r="E59" s="157"/>
      <c r="F59" s="157"/>
    </row>
    <row r="60" spans="2:6" ht="15.75" customHeight="1" x14ac:dyDescent="0.2">
      <c r="B60" s="157"/>
      <c r="C60" s="157"/>
      <c r="D60" s="157"/>
      <c r="E60" s="157"/>
      <c r="F60" s="157"/>
    </row>
    <row r="61" spans="2:6" ht="15.75" customHeight="1" x14ac:dyDescent="0.2">
      <c r="B61" s="157"/>
      <c r="C61" s="157"/>
      <c r="D61" s="157"/>
      <c r="E61" s="157"/>
      <c r="F61" s="157"/>
    </row>
    <row r="62" spans="2:6" ht="15.75" customHeight="1" x14ac:dyDescent="0.2">
      <c r="B62" s="157"/>
      <c r="C62" s="157"/>
      <c r="D62" s="157"/>
      <c r="E62" s="157"/>
      <c r="F62" s="157"/>
    </row>
    <row r="63" spans="2:6" ht="15.75" customHeight="1" x14ac:dyDescent="0.2">
      <c r="B63" s="157"/>
      <c r="C63" s="157"/>
      <c r="D63" s="157"/>
      <c r="E63" s="157"/>
      <c r="F63" s="157"/>
    </row>
    <row r="64" spans="2:6" ht="15.75" customHeight="1" x14ac:dyDescent="0.2">
      <c r="B64" s="157"/>
      <c r="C64" s="157"/>
      <c r="D64" s="157"/>
      <c r="E64" s="157"/>
      <c r="F64" s="157"/>
    </row>
    <row r="65" spans="2:6" ht="15.75" customHeight="1" x14ac:dyDescent="0.2">
      <c r="B65" s="157"/>
      <c r="C65" s="157"/>
      <c r="D65" s="157"/>
      <c r="E65" s="157"/>
      <c r="F65" s="157"/>
    </row>
    <row r="66" spans="2:6" ht="15.75" customHeight="1" x14ac:dyDescent="0.2">
      <c r="B66" s="157"/>
      <c r="C66" s="157"/>
      <c r="D66" s="157"/>
      <c r="E66" s="157"/>
      <c r="F66" s="157"/>
    </row>
    <row r="67" spans="2:6" ht="15.75" customHeight="1" x14ac:dyDescent="0.2">
      <c r="B67" s="157"/>
      <c r="C67" s="157"/>
      <c r="D67" s="157"/>
      <c r="E67" s="157"/>
      <c r="F67" s="157"/>
    </row>
    <row r="68" spans="2:6" ht="15.75" customHeight="1" x14ac:dyDescent="0.2">
      <c r="B68" s="157"/>
      <c r="C68" s="157"/>
      <c r="D68" s="157"/>
      <c r="E68" s="157"/>
      <c r="F68" s="157"/>
    </row>
    <row r="69" spans="2:6" ht="15.75" customHeight="1" x14ac:dyDescent="0.2">
      <c r="B69" s="157"/>
      <c r="C69" s="157"/>
      <c r="D69" s="157"/>
      <c r="E69" s="157"/>
      <c r="F69" s="157"/>
    </row>
    <row r="70" spans="2:6" ht="15.75" customHeight="1" x14ac:dyDescent="0.2">
      <c r="B70" s="157"/>
      <c r="C70" s="157"/>
      <c r="D70" s="157"/>
      <c r="E70" s="157"/>
      <c r="F70" s="157"/>
    </row>
    <row r="71" spans="2:6" ht="15.75" customHeight="1" x14ac:dyDescent="0.2">
      <c r="B71" s="157"/>
      <c r="C71" s="157"/>
      <c r="D71" s="157"/>
      <c r="E71" s="157"/>
      <c r="F71" s="157"/>
    </row>
    <row r="72" spans="2:6" ht="15.75" customHeight="1" x14ac:dyDescent="0.2">
      <c r="B72" s="157"/>
      <c r="C72" s="157"/>
      <c r="D72" s="157"/>
      <c r="E72" s="157"/>
      <c r="F72" s="157"/>
    </row>
    <row r="73" spans="2:6" ht="15.75" customHeight="1" x14ac:dyDescent="0.2">
      <c r="B73" s="157"/>
      <c r="C73" s="157"/>
      <c r="D73" s="157"/>
      <c r="E73" s="157"/>
      <c r="F73" s="157"/>
    </row>
    <row r="74" spans="2:6" ht="15.75" customHeight="1" x14ac:dyDescent="0.2">
      <c r="B74" s="157"/>
      <c r="C74" s="157"/>
      <c r="D74" s="157"/>
      <c r="E74" s="157"/>
      <c r="F74" s="157"/>
    </row>
    <row r="75" spans="2:6" ht="15.75" customHeight="1" x14ac:dyDescent="0.2">
      <c r="B75" s="157"/>
      <c r="C75" s="157"/>
      <c r="D75" s="157"/>
      <c r="E75" s="157"/>
      <c r="F75" s="157"/>
    </row>
    <row r="76" spans="2:6" ht="15.75" customHeight="1" x14ac:dyDescent="0.2">
      <c r="B76" s="157"/>
      <c r="C76" s="157"/>
      <c r="D76" s="157"/>
      <c r="E76" s="157"/>
      <c r="F76" s="157"/>
    </row>
    <row r="77" spans="2:6" ht="15.75" customHeight="1" x14ac:dyDescent="0.2">
      <c r="B77" s="157"/>
      <c r="C77" s="157"/>
      <c r="D77" s="157"/>
      <c r="E77" s="157"/>
      <c r="F77" s="157"/>
    </row>
    <row r="78" spans="2:6" ht="15.75" customHeight="1" x14ac:dyDescent="0.2">
      <c r="B78" s="157"/>
      <c r="C78" s="157"/>
      <c r="D78" s="157"/>
      <c r="E78" s="157"/>
      <c r="F78" s="157"/>
    </row>
    <row r="79" spans="2:6" ht="15.75" customHeight="1" x14ac:dyDescent="0.2">
      <c r="B79" s="157"/>
      <c r="C79" s="157"/>
      <c r="D79" s="157"/>
      <c r="E79" s="157"/>
      <c r="F79" s="157"/>
    </row>
    <row r="80" spans="2:6" ht="15.75" customHeight="1" x14ac:dyDescent="0.2">
      <c r="B80" s="157"/>
      <c r="C80" s="157"/>
      <c r="D80" s="157"/>
      <c r="E80" s="157"/>
      <c r="F80" s="157"/>
    </row>
    <row r="81" spans="2:6" ht="15.75" customHeight="1" x14ac:dyDescent="0.2">
      <c r="B81" s="157"/>
      <c r="C81" s="157"/>
      <c r="D81" s="157"/>
      <c r="E81" s="157"/>
      <c r="F81" s="157"/>
    </row>
    <row r="82" spans="2:6" ht="15.75" customHeight="1" x14ac:dyDescent="0.2">
      <c r="B82" s="157"/>
      <c r="C82" s="157"/>
      <c r="D82" s="157"/>
      <c r="E82" s="157"/>
      <c r="F82" s="157"/>
    </row>
    <row r="83" spans="2:6" ht="15.75" customHeight="1" x14ac:dyDescent="0.2">
      <c r="B83" s="157"/>
      <c r="C83" s="157"/>
      <c r="D83" s="157"/>
      <c r="E83" s="157"/>
      <c r="F83" s="157"/>
    </row>
    <row r="84" spans="2:6" ht="15.75" customHeight="1" x14ac:dyDescent="0.2">
      <c r="B84" s="157"/>
      <c r="C84" s="157"/>
      <c r="D84" s="157"/>
      <c r="E84" s="157"/>
      <c r="F84" s="157"/>
    </row>
    <row r="85" spans="2:6" ht="15.75" customHeight="1" x14ac:dyDescent="0.2">
      <c r="B85" s="157"/>
      <c r="C85" s="157"/>
      <c r="D85" s="157"/>
      <c r="E85" s="157"/>
      <c r="F85" s="157"/>
    </row>
    <row r="86" spans="2:6" ht="15.75" customHeight="1" x14ac:dyDescent="0.2">
      <c r="B86" s="157"/>
      <c r="C86" s="157"/>
      <c r="D86" s="157"/>
      <c r="E86" s="157"/>
      <c r="F86" s="157"/>
    </row>
    <row r="87" spans="2:6" ht="15.75" customHeight="1" x14ac:dyDescent="0.2">
      <c r="B87" s="157"/>
      <c r="C87" s="157"/>
      <c r="D87" s="157"/>
      <c r="E87" s="157"/>
      <c r="F87" s="157"/>
    </row>
    <row r="88" spans="2:6" ht="15.75" customHeight="1" x14ac:dyDescent="0.2">
      <c r="B88" s="157"/>
      <c r="C88" s="157"/>
      <c r="D88" s="157"/>
      <c r="E88" s="157"/>
      <c r="F88" s="157"/>
    </row>
    <row r="89" spans="2:6" ht="15.75" customHeight="1" x14ac:dyDescent="0.2">
      <c r="B89" s="157"/>
      <c r="C89" s="157"/>
      <c r="D89" s="157"/>
      <c r="E89" s="157"/>
      <c r="F89" s="157"/>
    </row>
    <row r="90" spans="2:6" ht="15.75" customHeight="1" x14ac:dyDescent="0.2">
      <c r="B90" s="157"/>
      <c r="C90" s="157"/>
      <c r="D90" s="157"/>
      <c r="E90" s="157"/>
      <c r="F90" s="157"/>
    </row>
    <row r="91" spans="2:6" ht="15.75" customHeight="1" x14ac:dyDescent="0.2">
      <c r="B91" s="157"/>
      <c r="C91" s="157"/>
      <c r="D91" s="157"/>
      <c r="E91" s="157"/>
      <c r="F91" s="157"/>
    </row>
    <row r="92" spans="2:6" ht="15.75" customHeight="1" x14ac:dyDescent="0.2">
      <c r="B92" s="157"/>
      <c r="C92" s="157"/>
      <c r="D92" s="157"/>
      <c r="E92" s="157"/>
      <c r="F92" s="157"/>
    </row>
    <row r="93" spans="2:6" ht="15.75" customHeight="1" x14ac:dyDescent="0.2">
      <c r="B93" s="157"/>
      <c r="C93" s="157"/>
      <c r="D93" s="157"/>
      <c r="E93" s="157"/>
      <c r="F93" s="157"/>
    </row>
    <row r="94" spans="2:6" ht="15.75" customHeight="1" x14ac:dyDescent="0.2">
      <c r="B94" s="157"/>
      <c r="C94" s="157"/>
      <c r="D94" s="157"/>
      <c r="E94" s="157"/>
      <c r="F94" s="157"/>
    </row>
    <row r="95" spans="2:6" ht="15.75" customHeight="1" x14ac:dyDescent="0.2">
      <c r="B95" s="157"/>
      <c r="C95" s="157"/>
      <c r="D95" s="157"/>
      <c r="E95" s="157"/>
      <c r="F95" s="157"/>
    </row>
    <row r="96" spans="2:6" ht="15.75" customHeight="1" x14ac:dyDescent="0.2">
      <c r="B96" s="157"/>
      <c r="C96" s="157"/>
      <c r="D96" s="157"/>
      <c r="E96" s="157"/>
      <c r="F96" s="157"/>
    </row>
    <row r="97" spans="2:6" ht="15.75" customHeight="1" x14ac:dyDescent="0.2">
      <c r="B97" s="157"/>
      <c r="C97" s="157"/>
      <c r="D97" s="157"/>
      <c r="E97" s="157"/>
      <c r="F97" s="157"/>
    </row>
    <row r="98" spans="2:6" ht="15.75" customHeight="1" x14ac:dyDescent="0.2">
      <c r="B98" s="157"/>
      <c r="C98" s="157"/>
      <c r="D98" s="157"/>
      <c r="E98" s="157"/>
      <c r="F98" s="157"/>
    </row>
    <row r="99" spans="2:6" ht="15.75" customHeight="1" x14ac:dyDescent="0.2">
      <c r="B99" s="157"/>
      <c r="C99" s="157"/>
      <c r="D99" s="157"/>
      <c r="E99" s="157"/>
      <c r="F99" s="157"/>
    </row>
    <row r="100" spans="2:6" ht="15.75" customHeight="1" x14ac:dyDescent="0.2">
      <c r="B100" s="157"/>
      <c r="C100" s="157"/>
      <c r="D100" s="157"/>
      <c r="E100" s="157"/>
      <c r="F100" s="157"/>
    </row>
    <row r="101" spans="2:6" ht="15.75" customHeight="1" x14ac:dyDescent="0.2">
      <c r="B101" s="157"/>
      <c r="C101" s="157"/>
      <c r="D101" s="157"/>
      <c r="E101" s="157"/>
      <c r="F101" s="157"/>
    </row>
    <row r="102" spans="2:6" ht="15.75" customHeight="1" x14ac:dyDescent="0.2">
      <c r="B102" s="157"/>
      <c r="C102" s="157"/>
      <c r="D102" s="157"/>
      <c r="E102" s="157"/>
      <c r="F102" s="157"/>
    </row>
    <row r="103" spans="2:6" ht="15.75" customHeight="1" x14ac:dyDescent="0.2">
      <c r="B103" s="157"/>
      <c r="C103" s="157"/>
      <c r="D103" s="157"/>
      <c r="E103" s="157"/>
      <c r="F103" s="157"/>
    </row>
    <row r="104" spans="2:6" ht="15.75" customHeight="1" x14ac:dyDescent="0.2">
      <c r="B104" s="157"/>
      <c r="C104" s="157"/>
      <c r="D104" s="157"/>
      <c r="E104" s="157"/>
      <c r="F104" s="157"/>
    </row>
    <row r="105" spans="2:6" ht="15.75" customHeight="1" x14ac:dyDescent="0.2">
      <c r="B105" s="157"/>
      <c r="C105" s="157"/>
      <c r="D105" s="157"/>
      <c r="E105" s="157"/>
      <c r="F105" s="157"/>
    </row>
    <row r="106" spans="2:6" ht="15.75" customHeight="1" x14ac:dyDescent="0.2">
      <c r="B106" s="157"/>
      <c r="C106" s="157"/>
      <c r="D106" s="157"/>
      <c r="E106" s="157"/>
      <c r="F106" s="157"/>
    </row>
    <row r="107" spans="2:6" ht="15.75" customHeight="1" x14ac:dyDescent="0.2">
      <c r="B107" s="157"/>
      <c r="C107" s="157"/>
      <c r="D107" s="157"/>
      <c r="E107" s="157"/>
      <c r="F107" s="157"/>
    </row>
    <row r="108" spans="2:6" ht="15.75" customHeight="1" x14ac:dyDescent="0.2">
      <c r="B108" s="157"/>
      <c r="C108" s="157"/>
      <c r="D108" s="157"/>
      <c r="E108" s="157"/>
      <c r="F108" s="157"/>
    </row>
    <row r="109" spans="2:6" ht="15.75" customHeight="1" x14ac:dyDescent="0.2">
      <c r="B109" s="157"/>
      <c r="C109" s="157"/>
      <c r="D109" s="157"/>
      <c r="E109" s="157"/>
      <c r="F109" s="157"/>
    </row>
    <row r="110" spans="2:6" ht="15.75" customHeight="1" x14ac:dyDescent="0.2">
      <c r="B110" s="157"/>
      <c r="C110" s="157"/>
      <c r="D110" s="157"/>
      <c r="E110" s="157"/>
      <c r="F110" s="157"/>
    </row>
    <row r="111" spans="2:6" ht="15.75" customHeight="1" x14ac:dyDescent="0.2">
      <c r="B111" s="157"/>
      <c r="C111" s="157"/>
      <c r="D111" s="157"/>
      <c r="E111" s="157"/>
      <c r="F111" s="157"/>
    </row>
    <row r="112" spans="2:6" ht="15.75" customHeight="1" x14ac:dyDescent="0.2">
      <c r="B112" s="157"/>
      <c r="C112" s="157"/>
      <c r="D112" s="157"/>
      <c r="E112" s="157"/>
      <c r="F112" s="157"/>
    </row>
    <row r="113" spans="2:6" ht="15.75" customHeight="1" x14ac:dyDescent="0.2">
      <c r="B113" s="157"/>
      <c r="C113" s="157"/>
      <c r="D113" s="157"/>
      <c r="E113" s="157"/>
      <c r="F113" s="157"/>
    </row>
    <row r="114" spans="2:6" ht="15.75" customHeight="1" x14ac:dyDescent="0.2">
      <c r="B114" s="157"/>
      <c r="C114" s="157"/>
      <c r="D114" s="157"/>
      <c r="E114" s="157"/>
      <c r="F114" s="157"/>
    </row>
    <row r="115" spans="2:6" ht="15.75" customHeight="1" x14ac:dyDescent="0.2">
      <c r="B115" s="157"/>
      <c r="C115" s="157"/>
      <c r="D115" s="157"/>
      <c r="E115" s="157"/>
      <c r="F115" s="157"/>
    </row>
    <row r="116" spans="2:6" ht="15.75" customHeight="1" x14ac:dyDescent="0.2">
      <c r="B116" s="157"/>
      <c r="C116" s="157"/>
      <c r="D116" s="157"/>
      <c r="E116" s="157"/>
      <c r="F116" s="157"/>
    </row>
    <row r="117" spans="2:6" ht="15.75" customHeight="1" x14ac:dyDescent="0.2">
      <c r="B117" s="157"/>
      <c r="C117" s="157"/>
      <c r="D117" s="157"/>
      <c r="E117" s="157"/>
      <c r="F117" s="157"/>
    </row>
    <row r="118" spans="2:6" ht="15.75" customHeight="1" x14ac:dyDescent="0.2">
      <c r="B118" s="157"/>
      <c r="C118" s="157"/>
      <c r="D118" s="157"/>
      <c r="E118" s="157"/>
      <c r="F118" s="157"/>
    </row>
    <row r="119" spans="2:6" ht="15.75" customHeight="1" x14ac:dyDescent="0.2">
      <c r="B119" s="157"/>
      <c r="C119" s="157"/>
      <c r="D119" s="157"/>
      <c r="E119" s="157"/>
      <c r="F119" s="157"/>
    </row>
    <row r="120" spans="2:6" ht="15.75" customHeight="1" x14ac:dyDescent="0.2">
      <c r="B120" s="157"/>
      <c r="C120" s="157"/>
      <c r="D120" s="157"/>
      <c r="E120" s="157"/>
      <c r="F120" s="157"/>
    </row>
    <row r="121" spans="2:6" ht="15.75" customHeight="1" x14ac:dyDescent="0.2">
      <c r="B121" s="157"/>
      <c r="C121" s="157"/>
      <c r="D121" s="157"/>
      <c r="E121" s="157"/>
      <c r="F121" s="157"/>
    </row>
    <row r="122" spans="2:6" ht="15.75" customHeight="1" x14ac:dyDescent="0.2">
      <c r="B122" s="157"/>
      <c r="C122" s="157"/>
      <c r="D122" s="157"/>
      <c r="E122" s="157"/>
      <c r="F122" s="157"/>
    </row>
    <row r="123" spans="2:6" ht="15.75" customHeight="1" x14ac:dyDescent="0.2">
      <c r="B123" s="157"/>
      <c r="C123" s="157"/>
      <c r="D123" s="157"/>
      <c r="E123" s="157"/>
      <c r="F123" s="157"/>
    </row>
    <row r="124" spans="2:6" ht="15.75" customHeight="1" x14ac:dyDescent="0.2">
      <c r="B124" s="157"/>
      <c r="C124" s="157"/>
      <c r="D124" s="157"/>
      <c r="E124" s="157"/>
      <c r="F124" s="157"/>
    </row>
    <row r="125" spans="2:6" ht="15.75" customHeight="1" x14ac:dyDescent="0.2">
      <c r="B125" s="157"/>
      <c r="C125" s="157"/>
      <c r="D125" s="157"/>
      <c r="E125" s="157"/>
      <c r="F125" s="157"/>
    </row>
    <row r="126" spans="2:6" ht="15.75" customHeight="1" x14ac:dyDescent="0.2">
      <c r="B126" s="157"/>
      <c r="C126" s="157"/>
      <c r="D126" s="157"/>
      <c r="E126" s="157"/>
      <c r="F126" s="157"/>
    </row>
    <row r="127" spans="2:6" ht="15.75" customHeight="1" x14ac:dyDescent="0.2">
      <c r="B127" s="157"/>
      <c r="C127" s="157"/>
      <c r="D127" s="157"/>
      <c r="E127" s="157"/>
      <c r="F127" s="157"/>
    </row>
    <row r="128" spans="2:6" ht="15.75" customHeight="1" x14ac:dyDescent="0.2">
      <c r="B128" s="157"/>
      <c r="C128" s="157"/>
      <c r="D128" s="157"/>
      <c r="E128" s="157"/>
      <c r="F128" s="157"/>
    </row>
    <row r="129" spans="2:6" ht="15.75" customHeight="1" x14ac:dyDescent="0.2">
      <c r="B129" s="157"/>
      <c r="C129" s="157"/>
      <c r="D129" s="157"/>
      <c r="E129" s="157"/>
      <c r="F129" s="157"/>
    </row>
    <row r="130" spans="2:6" ht="15.75" customHeight="1" x14ac:dyDescent="0.2">
      <c r="B130" s="157"/>
      <c r="C130" s="157"/>
      <c r="D130" s="157"/>
      <c r="E130" s="157"/>
      <c r="F130" s="157"/>
    </row>
    <row r="131" spans="2:6" ht="15.75" customHeight="1" x14ac:dyDescent="0.2">
      <c r="B131" s="157"/>
      <c r="C131" s="157"/>
      <c r="D131" s="157"/>
      <c r="E131" s="157"/>
      <c r="F131" s="157"/>
    </row>
    <row r="132" spans="2:6" ht="15.75" customHeight="1" x14ac:dyDescent="0.2">
      <c r="B132" s="157"/>
      <c r="C132" s="157"/>
      <c r="D132" s="157"/>
      <c r="E132" s="157"/>
      <c r="F132" s="157"/>
    </row>
    <row r="133" spans="2:6" ht="15.75" customHeight="1" x14ac:dyDescent="0.2">
      <c r="B133" s="157"/>
      <c r="C133" s="157"/>
      <c r="D133" s="157"/>
      <c r="E133" s="157"/>
      <c r="F133" s="157"/>
    </row>
    <row r="134" spans="2:6" ht="15.75" customHeight="1" x14ac:dyDescent="0.2">
      <c r="B134" s="157"/>
      <c r="C134" s="157"/>
      <c r="D134" s="157"/>
      <c r="E134" s="157"/>
      <c r="F134" s="157"/>
    </row>
    <row r="135" spans="2:6" ht="15.75" customHeight="1" x14ac:dyDescent="0.2">
      <c r="B135" s="157"/>
      <c r="C135" s="157"/>
      <c r="D135" s="157"/>
      <c r="E135" s="157"/>
      <c r="F135" s="157"/>
    </row>
    <row r="136" spans="2:6" ht="15.75" customHeight="1" x14ac:dyDescent="0.2">
      <c r="B136" s="157"/>
      <c r="C136" s="157"/>
      <c r="D136" s="157"/>
      <c r="E136" s="157"/>
      <c r="F136" s="157"/>
    </row>
    <row r="137" spans="2:6" ht="15.75" customHeight="1" x14ac:dyDescent="0.2">
      <c r="B137" s="157"/>
      <c r="C137" s="157"/>
      <c r="D137" s="157"/>
      <c r="E137" s="157"/>
      <c r="F137" s="157"/>
    </row>
    <row r="138" spans="2:6" ht="15.75" customHeight="1" x14ac:dyDescent="0.2">
      <c r="B138" s="157"/>
      <c r="C138" s="157"/>
      <c r="D138" s="157"/>
      <c r="E138" s="157"/>
      <c r="F138" s="157"/>
    </row>
    <row r="139" spans="2:6" ht="15.75" customHeight="1" x14ac:dyDescent="0.2">
      <c r="B139" s="157"/>
      <c r="C139" s="157"/>
      <c r="D139" s="157"/>
      <c r="E139" s="157"/>
      <c r="F139" s="157"/>
    </row>
    <row r="140" spans="2:6" ht="15.75" customHeight="1" x14ac:dyDescent="0.2">
      <c r="B140" s="157"/>
      <c r="C140" s="157"/>
      <c r="D140" s="157"/>
      <c r="E140" s="157"/>
      <c r="F140" s="157"/>
    </row>
    <row r="141" spans="2:6" ht="15.75" customHeight="1" x14ac:dyDescent="0.2">
      <c r="B141" s="157"/>
      <c r="C141" s="157"/>
      <c r="D141" s="157"/>
      <c r="E141" s="157"/>
      <c r="F141" s="157"/>
    </row>
    <row r="142" spans="2:6" ht="15.75" customHeight="1" x14ac:dyDescent="0.2">
      <c r="B142" s="157"/>
      <c r="C142" s="157"/>
      <c r="D142" s="157"/>
      <c r="E142" s="157"/>
      <c r="F142" s="157"/>
    </row>
    <row r="143" spans="2:6" ht="15.75" customHeight="1" x14ac:dyDescent="0.2">
      <c r="B143" s="157"/>
      <c r="C143" s="157"/>
      <c r="D143" s="157"/>
      <c r="E143" s="157"/>
      <c r="F143" s="157"/>
    </row>
    <row r="144" spans="2:6" ht="15.75" customHeight="1" x14ac:dyDescent="0.2">
      <c r="B144" s="157"/>
      <c r="C144" s="157"/>
      <c r="D144" s="157"/>
      <c r="E144" s="157"/>
      <c r="F144" s="157"/>
    </row>
    <row r="145" spans="2:6" ht="15.75" customHeight="1" x14ac:dyDescent="0.2">
      <c r="B145" s="157"/>
      <c r="C145" s="157"/>
      <c r="D145" s="157"/>
      <c r="E145" s="157"/>
      <c r="F145" s="157"/>
    </row>
    <row r="146" spans="2:6" ht="15.75" customHeight="1" x14ac:dyDescent="0.2">
      <c r="B146" s="157"/>
      <c r="C146" s="157"/>
      <c r="D146" s="157"/>
      <c r="E146" s="157"/>
      <c r="F146" s="157"/>
    </row>
    <row r="147" spans="2:6" ht="15.75" customHeight="1" x14ac:dyDescent="0.2">
      <c r="B147" s="157"/>
      <c r="C147" s="157"/>
      <c r="D147" s="157"/>
      <c r="E147" s="157"/>
      <c r="F147" s="157"/>
    </row>
    <row r="148" spans="2:6" ht="15.75" customHeight="1" x14ac:dyDescent="0.2">
      <c r="B148" s="157"/>
      <c r="C148" s="157"/>
      <c r="D148" s="157"/>
      <c r="E148" s="157"/>
      <c r="F148" s="157"/>
    </row>
    <row r="149" spans="2:6" ht="15.75" customHeight="1" x14ac:dyDescent="0.2">
      <c r="B149" s="157"/>
      <c r="C149" s="157"/>
      <c r="D149" s="157"/>
      <c r="E149" s="157"/>
      <c r="F149" s="157"/>
    </row>
    <row r="150" spans="2:6" ht="15.75" customHeight="1" x14ac:dyDescent="0.2">
      <c r="B150" s="157"/>
      <c r="C150" s="157"/>
      <c r="D150" s="157"/>
      <c r="E150" s="157"/>
      <c r="F150" s="157"/>
    </row>
    <row r="151" spans="2:6" ht="15.75" customHeight="1" x14ac:dyDescent="0.2">
      <c r="B151" s="157"/>
      <c r="C151" s="157"/>
      <c r="D151" s="157"/>
      <c r="E151" s="157"/>
      <c r="F151" s="157"/>
    </row>
    <row r="152" spans="2:6" ht="15.75" customHeight="1" x14ac:dyDescent="0.2">
      <c r="B152" s="157"/>
      <c r="C152" s="157"/>
      <c r="D152" s="157"/>
      <c r="E152" s="157"/>
      <c r="F152" s="157"/>
    </row>
    <row r="153" spans="2:6" ht="15.75" customHeight="1" x14ac:dyDescent="0.2">
      <c r="B153" s="157"/>
      <c r="C153" s="157"/>
      <c r="D153" s="157"/>
      <c r="E153" s="157"/>
      <c r="F153" s="157"/>
    </row>
    <row r="154" spans="2:6" ht="15.75" customHeight="1" x14ac:dyDescent="0.2">
      <c r="B154" s="157"/>
      <c r="C154" s="157"/>
      <c r="D154" s="157"/>
      <c r="E154" s="157"/>
      <c r="F154" s="157"/>
    </row>
    <row r="155" spans="2:6" ht="15.75" customHeight="1" x14ac:dyDescent="0.2">
      <c r="B155" s="157"/>
      <c r="C155" s="157"/>
      <c r="D155" s="157"/>
      <c r="E155" s="157"/>
      <c r="F155" s="157"/>
    </row>
    <row r="156" spans="2:6" ht="15.75" customHeight="1" x14ac:dyDescent="0.2">
      <c r="B156" s="157"/>
      <c r="C156" s="157"/>
      <c r="D156" s="157"/>
      <c r="E156" s="157"/>
      <c r="F156" s="157"/>
    </row>
    <row r="157" spans="2:6" ht="15.75" customHeight="1" x14ac:dyDescent="0.2">
      <c r="B157" s="157"/>
      <c r="C157" s="157"/>
      <c r="D157" s="157"/>
      <c r="E157" s="157"/>
      <c r="F157" s="157"/>
    </row>
    <row r="158" spans="2:6" ht="15.75" customHeight="1" x14ac:dyDescent="0.2">
      <c r="B158" s="157"/>
      <c r="C158" s="157"/>
      <c r="D158" s="157"/>
      <c r="E158" s="157"/>
      <c r="F158" s="157"/>
    </row>
    <row r="159" spans="2:6" ht="15.75" customHeight="1" x14ac:dyDescent="0.2">
      <c r="B159" s="157"/>
      <c r="C159" s="157"/>
      <c r="D159" s="157"/>
      <c r="E159" s="157"/>
      <c r="F159" s="157"/>
    </row>
    <row r="160" spans="2:6" ht="15.75" customHeight="1" x14ac:dyDescent="0.2">
      <c r="B160" s="157"/>
      <c r="C160" s="157"/>
      <c r="D160" s="157"/>
      <c r="E160" s="157"/>
      <c r="F160" s="157"/>
    </row>
    <row r="161" spans="2:6" ht="15.75" customHeight="1" x14ac:dyDescent="0.2">
      <c r="B161" s="157"/>
      <c r="C161" s="157"/>
      <c r="D161" s="157"/>
      <c r="E161" s="157"/>
      <c r="F161" s="157"/>
    </row>
    <row r="162" spans="2:6" ht="15.75" customHeight="1" x14ac:dyDescent="0.2">
      <c r="B162" s="157"/>
      <c r="C162" s="157"/>
      <c r="D162" s="157"/>
      <c r="E162" s="157"/>
      <c r="F162" s="157"/>
    </row>
    <row r="163" spans="2:6" ht="15.75" customHeight="1" x14ac:dyDescent="0.2">
      <c r="B163" s="157"/>
      <c r="C163" s="157"/>
      <c r="D163" s="157"/>
      <c r="E163" s="157"/>
      <c r="F163" s="157"/>
    </row>
    <row r="164" spans="2:6" ht="15.75" customHeight="1" x14ac:dyDescent="0.2">
      <c r="B164" s="157"/>
      <c r="C164" s="157"/>
      <c r="D164" s="157"/>
      <c r="E164" s="157"/>
      <c r="F164" s="157"/>
    </row>
    <row r="165" spans="2:6" ht="15.75" customHeight="1" x14ac:dyDescent="0.2">
      <c r="B165" s="157"/>
      <c r="C165" s="157"/>
      <c r="D165" s="157"/>
      <c r="E165" s="157"/>
      <c r="F165" s="157"/>
    </row>
    <row r="166" spans="2:6" ht="15.75" customHeight="1" x14ac:dyDescent="0.2">
      <c r="B166" s="157"/>
      <c r="C166" s="157"/>
      <c r="D166" s="157"/>
      <c r="E166" s="157"/>
      <c r="F166" s="157"/>
    </row>
    <row r="167" spans="2:6" ht="15.75" customHeight="1" x14ac:dyDescent="0.2">
      <c r="B167" s="157"/>
      <c r="C167" s="157"/>
      <c r="D167" s="157"/>
      <c r="E167" s="157"/>
      <c r="F167" s="157"/>
    </row>
    <row r="168" spans="2:6" ht="15.75" customHeight="1" x14ac:dyDescent="0.2">
      <c r="B168" s="157"/>
      <c r="C168" s="157"/>
      <c r="D168" s="157"/>
      <c r="E168" s="157"/>
      <c r="F168" s="157"/>
    </row>
    <row r="169" spans="2:6" ht="15.75" customHeight="1" x14ac:dyDescent="0.2">
      <c r="B169" s="157"/>
      <c r="C169" s="157"/>
      <c r="D169" s="157"/>
      <c r="E169" s="157"/>
      <c r="F169" s="157"/>
    </row>
    <row r="170" spans="2:6" ht="15.75" customHeight="1" x14ac:dyDescent="0.2">
      <c r="B170" s="157"/>
      <c r="C170" s="157"/>
      <c r="D170" s="157"/>
      <c r="E170" s="157"/>
      <c r="F170" s="157"/>
    </row>
    <row r="171" spans="2:6" ht="15.75" customHeight="1" x14ac:dyDescent="0.2">
      <c r="B171" s="157"/>
      <c r="C171" s="157"/>
      <c r="D171" s="157"/>
      <c r="E171" s="157"/>
      <c r="F171" s="157"/>
    </row>
    <row r="172" spans="2:6" ht="15.75" customHeight="1" x14ac:dyDescent="0.2">
      <c r="B172" s="157"/>
      <c r="C172" s="157"/>
      <c r="D172" s="157"/>
      <c r="E172" s="157"/>
      <c r="F172" s="157"/>
    </row>
    <row r="173" spans="2:6" ht="15.75" customHeight="1" x14ac:dyDescent="0.2">
      <c r="B173" s="157"/>
      <c r="C173" s="157"/>
      <c r="D173" s="157"/>
      <c r="E173" s="157"/>
      <c r="F173" s="157"/>
    </row>
    <row r="174" spans="2:6" ht="15.75" customHeight="1" x14ac:dyDescent="0.2">
      <c r="B174" s="157"/>
      <c r="C174" s="157"/>
      <c r="D174" s="157"/>
      <c r="E174" s="157"/>
      <c r="F174" s="157"/>
    </row>
    <row r="175" spans="2:6" ht="15.75" customHeight="1" x14ac:dyDescent="0.2">
      <c r="B175" s="157"/>
      <c r="C175" s="157"/>
      <c r="D175" s="157"/>
      <c r="E175" s="157"/>
      <c r="F175" s="157"/>
    </row>
    <row r="176" spans="2:6" ht="15.75" customHeight="1" x14ac:dyDescent="0.2">
      <c r="B176" s="157"/>
      <c r="C176" s="157"/>
      <c r="D176" s="157"/>
      <c r="E176" s="157"/>
      <c r="F176" s="157"/>
    </row>
    <row r="177" spans="2:6" ht="15.75" customHeight="1" x14ac:dyDescent="0.2">
      <c r="B177" s="157"/>
      <c r="C177" s="157"/>
      <c r="D177" s="157"/>
      <c r="E177" s="157"/>
      <c r="F177" s="157"/>
    </row>
    <row r="178" spans="2:6" ht="15.75" customHeight="1" x14ac:dyDescent="0.2">
      <c r="B178" s="157"/>
      <c r="C178" s="157"/>
      <c r="D178" s="157"/>
      <c r="E178" s="157"/>
      <c r="F178" s="157"/>
    </row>
    <row r="179" spans="2:6" ht="15.75" customHeight="1" x14ac:dyDescent="0.2">
      <c r="B179" s="157"/>
      <c r="C179" s="157"/>
      <c r="D179" s="157"/>
      <c r="E179" s="157"/>
      <c r="F179" s="157"/>
    </row>
    <row r="180" spans="2:6" ht="15.75" customHeight="1" x14ac:dyDescent="0.2">
      <c r="B180" s="157"/>
      <c r="C180" s="157"/>
      <c r="D180" s="157"/>
      <c r="E180" s="157"/>
      <c r="F180" s="157"/>
    </row>
    <row r="181" spans="2:6" ht="15.75" customHeight="1" x14ac:dyDescent="0.2">
      <c r="B181" s="157"/>
      <c r="C181" s="157"/>
      <c r="D181" s="157"/>
      <c r="E181" s="157"/>
      <c r="F181" s="157"/>
    </row>
    <row r="182" spans="2:6" ht="15.75" customHeight="1" x14ac:dyDescent="0.2">
      <c r="B182" s="157"/>
      <c r="C182" s="157"/>
      <c r="D182" s="157"/>
      <c r="E182" s="157"/>
      <c r="F182" s="157"/>
    </row>
    <row r="183" spans="2:6" ht="15.75" customHeight="1" x14ac:dyDescent="0.2">
      <c r="B183" s="157"/>
      <c r="C183" s="157"/>
      <c r="D183" s="157"/>
      <c r="E183" s="157"/>
      <c r="F183" s="157"/>
    </row>
    <row r="184" spans="2:6" ht="15.75" customHeight="1" x14ac:dyDescent="0.2">
      <c r="B184" s="157"/>
      <c r="C184" s="157"/>
      <c r="D184" s="157"/>
      <c r="E184" s="157"/>
      <c r="F184" s="157"/>
    </row>
    <row r="185" spans="2:6" ht="15.75" customHeight="1" x14ac:dyDescent="0.2">
      <c r="B185" s="157"/>
      <c r="C185" s="157"/>
      <c r="D185" s="157"/>
      <c r="E185" s="157"/>
      <c r="F185" s="157"/>
    </row>
    <row r="186" spans="2:6" ht="15.75" customHeight="1" x14ac:dyDescent="0.2">
      <c r="B186" s="157"/>
      <c r="C186" s="157"/>
      <c r="D186" s="157"/>
      <c r="E186" s="157"/>
      <c r="F186" s="157"/>
    </row>
    <row r="187" spans="2:6" ht="15.75" customHeight="1" x14ac:dyDescent="0.2">
      <c r="B187" s="157"/>
      <c r="C187" s="157"/>
      <c r="D187" s="157"/>
      <c r="E187" s="157"/>
      <c r="F187" s="157"/>
    </row>
    <row r="188" spans="2:6" ht="15.75" customHeight="1" x14ac:dyDescent="0.2">
      <c r="B188" s="157"/>
      <c r="C188" s="157"/>
      <c r="D188" s="157"/>
      <c r="E188" s="157"/>
      <c r="F188" s="157"/>
    </row>
    <row r="189" spans="2:6" ht="15.75" customHeight="1" x14ac:dyDescent="0.2">
      <c r="B189" s="157"/>
      <c r="C189" s="157"/>
      <c r="D189" s="157"/>
      <c r="E189" s="157"/>
      <c r="F189" s="157"/>
    </row>
    <row r="190" spans="2:6" ht="15.75" customHeight="1" x14ac:dyDescent="0.2">
      <c r="B190" s="157"/>
      <c r="C190" s="157"/>
      <c r="D190" s="157"/>
      <c r="E190" s="157"/>
      <c r="F190" s="157"/>
    </row>
    <row r="191" spans="2:6" ht="15.75" customHeight="1" x14ac:dyDescent="0.2">
      <c r="B191" s="157"/>
      <c r="C191" s="157"/>
      <c r="D191" s="157"/>
      <c r="E191" s="157"/>
      <c r="F191" s="157"/>
    </row>
    <row r="192" spans="2:6" ht="15.75" customHeight="1" x14ac:dyDescent="0.2">
      <c r="B192" s="157"/>
      <c r="C192" s="157"/>
      <c r="D192" s="157"/>
      <c r="E192" s="157"/>
      <c r="F192" s="157"/>
    </row>
    <row r="193" spans="2:6" ht="15.75" customHeight="1" x14ac:dyDescent="0.2">
      <c r="B193" s="157"/>
      <c r="C193" s="157"/>
      <c r="D193" s="157"/>
      <c r="E193" s="157"/>
      <c r="F193" s="157"/>
    </row>
    <row r="194" spans="2:6" ht="15.75" customHeight="1" x14ac:dyDescent="0.2">
      <c r="B194" s="157"/>
      <c r="C194" s="157"/>
      <c r="D194" s="157"/>
      <c r="E194" s="157"/>
      <c r="F194" s="157"/>
    </row>
    <row r="195" spans="2:6" ht="15.75" customHeight="1" x14ac:dyDescent="0.2">
      <c r="B195" s="157"/>
      <c r="C195" s="157"/>
      <c r="D195" s="157"/>
      <c r="E195" s="157"/>
      <c r="F195" s="157"/>
    </row>
    <row r="196" spans="2:6" ht="15.75" customHeight="1" x14ac:dyDescent="0.2">
      <c r="B196" s="157"/>
      <c r="C196" s="157"/>
      <c r="D196" s="157"/>
      <c r="E196" s="157"/>
      <c r="F196" s="157"/>
    </row>
    <row r="197" spans="2:6" ht="15.75" customHeight="1" x14ac:dyDescent="0.2">
      <c r="B197" s="157"/>
      <c r="C197" s="157"/>
      <c r="D197" s="157"/>
      <c r="E197" s="157"/>
      <c r="F197" s="157"/>
    </row>
    <row r="198" spans="2:6" ht="15.75" customHeight="1" x14ac:dyDescent="0.2">
      <c r="B198" s="157"/>
      <c r="C198" s="157"/>
      <c r="D198" s="157"/>
      <c r="E198" s="157"/>
      <c r="F198" s="157"/>
    </row>
    <row r="199" spans="2:6" ht="15.75" customHeight="1" x14ac:dyDescent="0.2">
      <c r="B199" s="157"/>
      <c r="C199" s="157"/>
      <c r="D199" s="157"/>
      <c r="E199" s="157"/>
      <c r="F199" s="157"/>
    </row>
    <row r="200" spans="2:6" ht="15.75" customHeight="1" x14ac:dyDescent="0.2">
      <c r="B200" s="157"/>
      <c r="C200" s="157"/>
      <c r="D200" s="157"/>
      <c r="E200" s="157"/>
      <c r="F200" s="157"/>
    </row>
    <row r="201" spans="2:6" ht="15.75" customHeight="1" x14ac:dyDescent="0.2">
      <c r="B201" s="157"/>
      <c r="C201" s="157"/>
      <c r="D201" s="157"/>
      <c r="E201" s="157"/>
      <c r="F201" s="157"/>
    </row>
    <row r="202" spans="2:6" ht="15.75" customHeight="1" x14ac:dyDescent="0.2">
      <c r="B202" s="157"/>
      <c r="C202" s="157"/>
      <c r="D202" s="157"/>
      <c r="E202" s="157"/>
      <c r="F202" s="157"/>
    </row>
    <row r="203" spans="2:6" ht="15.75" customHeight="1" x14ac:dyDescent="0.2">
      <c r="B203" s="157"/>
      <c r="C203" s="157"/>
      <c r="D203" s="157"/>
      <c r="E203" s="157"/>
      <c r="F203" s="157"/>
    </row>
    <row r="204" spans="2:6" ht="15.75" customHeight="1" x14ac:dyDescent="0.2">
      <c r="B204" s="157"/>
      <c r="C204" s="157"/>
      <c r="D204" s="157"/>
      <c r="E204" s="157"/>
      <c r="F204" s="157"/>
    </row>
    <row r="205" spans="2:6" ht="15.75" customHeight="1" x14ac:dyDescent="0.2">
      <c r="B205" s="157"/>
      <c r="C205" s="157"/>
      <c r="D205" s="157"/>
      <c r="E205" s="157"/>
      <c r="F205" s="157"/>
    </row>
    <row r="206" spans="2:6" ht="15.75" customHeight="1" x14ac:dyDescent="0.2">
      <c r="B206" s="157"/>
      <c r="C206" s="157"/>
      <c r="D206" s="157"/>
      <c r="E206" s="157"/>
      <c r="F206" s="157"/>
    </row>
    <row r="207" spans="2:6" ht="15.75" customHeight="1" x14ac:dyDescent="0.2">
      <c r="B207" s="157"/>
      <c r="C207" s="157"/>
      <c r="D207" s="157"/>
      <c r="E207" s="157"/>
      <c r="F207" s="157"/>
    </row>
    <row r="208" spans="2:6" ht="15.75" customHeight="1" x14ac:dyDescent="0.2">
      <c r="B208" s="157"/>
      <c r="C208" s="157"/>
      <c r="D208" s="157"/>
      <c r="E208" s="157"/>
      <c r="F208" s="157"/>
    </row>
    <row r="209" spans="2:6" ht="15.75" customHeight="1" x14ac:dyDescent="0.2">
      <c r="B209" s="157"/>
      <c r="C209" s="157"/>
      <c r="D209" s="157"/>
      <c r="E209" s="157"/>
      <c r="F209" s="157"/>
    </row>
    <row r="210" spans="2:6" ht="15.75" customHeight="1" x14ac:dyDescent="0.2">
      <c r="B210" s="157"/>
      <c r="C210" s="157"/>
      <c r="D210" s="157"/>
      <c r="E210" s="157"/>
      <c r="F210" s="157"/>
    </row>
    <row r="211" spans="2:6" ht="15.75" customHeight="1" x14ac:dyDescent="0.2">
      <c r="B211" s="157"/>
      <c r="C211" s="157"/>
      <c r="D211" s="157"/>
      <c r="E211" s="157"/>
      <c r="F211" s="157"/>
    </row>
    <row r="212" spans="2:6" ht="15.75" customHeight="1" x14ac:dyDescent="0.2">
      <c r="B212" s="157"/>
      <c r="C212" s="157"/>
      <c r="D212" s="157"/>
      <c r="E212" s="157"/>
      <c r="F212" s="157"/>
    </row>
    <row r="213" spans="2:6" ht="15.75" customHeight="1" x14ac:dyDescent="0.2">
      <c r="B213" s="157"/>
      <c r="C213" s="157"/>
      <c r="D213" s="157"/>
      <c r="E213" s="157"/>
      <c r="F213" s="157"/>
    </row>
    <row r="214" spans="2:6" ht="15.75" customHeight="1" x14ac:dyDescent="0.2">
      <c r="B214" s="157"/>
      <c r="C214" s="157"/>
      <c r="D214" s="157"/>
      <c r="E214" s="157"/>
      <c r="F214" s="157"/>
    </row>
    <row r="215" spans="2:6" ht="15.75" customHeight="1" x14ac:dyDescent="0.2">
      <c r="B215" s="157"/>
      <c r="C215" s="157"/>
      <c r="D215" s="157"/>
      <c r="E215" s="157"/>
      <c r="F215" s="157"/>
    </row>
    <row r="216" spans="2:6" ht="15.75" customHeight="1" x14ac:dyDescent="0.2">
      <c r="B216" s="157"/>
      <c r="C216" s="157"/>
      <c r="D216" s="157"/>
      <c r="E216" s="157"/>
      <c r="F216" s="157"/>
    </row>
    <row r="217" spans="2:6" ht="15.75" customHeight="1" x14ac:dyDescent="0.2">
      <c r="B217" s="157"/>
      <c r="C217" s="157"/>
      <c r="D217" s="157"/>
      <c r="E217" s="157"/>
      <c r="F217" s="157"/>
    </row>
    <row r="218" spans="2:6" ht="15.75" customHeight="1" x14ac:dyDescent="0.2">
      <c r="B218" s="157"/>
      <c r="C218" s="157"/>
      <c r="D218" s="157"/>
      <c r="E218" s="157"/>
      <c r="F218" s="157"/>
    </row>
    <row r="219" spans="2:6" ht="15.75" customHeight="1" x14ac:dyDescent="0.2">
      <c r="B219" s="157"/>
      <c r="C219" s="157"/>
      <c r="D219" s="157"/>
      <c r="E219" s="157"/>
      <c r="F219" s="157"/>
    </row>
    <row r="220" spans="2:6" ht="15.75" customHeight="1" x14ac:dyDescent="0.2">
      <c r="B220" s="157"/>
      <c r="C220" s="157"/>
      <c r="D220" s="157"/>
      <c r="E220" s="157"/>
      <c r="F220" s="157"/>
    </row>
    <row r="221" spans="2:6" ht="15.75" customHeight="1" x14ac:dyDescent="0.2">
      <c r="B221" s="157"/>
      <c r="C221" s="157"/>
      <c r="D221" s="157"/>
      <c r="E221" s="157"/>
      <c r="F221" s="157"/>
    </row>
    <row r="222" spans="2:6" ht="15.75" customHeight="1" x14ac:dyDescent="0.2">
      <c r="B222" s="157"/>
      <c r="C222" s="157"/>
      <c r="D222" s="157"/>
      <c r="E222" s="157"/>
      <c r="F222" s="157"/>
    </row>
    <row r="223" spans="2:6" ht="15.75" customHeight="1" x14ac:dyDescent="0.2">
      <c r="B223" s="157"/>
      <c r="C223" s="157"/>
      <c r="D223" s="157"/>
      <c r="E223" s="157"/>
      <c r="F223" s="157"/>
    </row>
    <row r="224" spans="2:6" ht="15.75" customHeight="1" x14ac:dyDescent="0.2">
      <c r="B224" s="157"/>
      <c r="C224" s="157"/>
      <c r="D224" s="157"/>
      <c r="E224" s="157"/>
      <c r="F224" s="157"/>
    </row>
    <row r="225" spans="2:6" ht="15.75" customHeight="1" x14ac:dyDescent="0.2">
      <c r="B225" s="157"/>
      <c r="C225" s="157"/>
      <c r="D225" s="157"/>
      <c r="E225" s="157"/>
      <c r="F225" s="157"/>
    </row>
    <row r="226" spans="2:6" ht="15.75" customHeight="1" x14ac:dyDescent="0.2">
      <c r="B226" s="157"/>
      <c r="C226" s="157"/>
      <c r="D226" s="157"/>
      <c r="E226" s="157"/>
      <c r="F226" s="157"/>
    </row>
    <row r="227" spans="2:6" ht="15.75" customHeight="1" x14ac:dyDescent="0.2">
      <c r="B227" s="157"/>
      <c r="C227" s="157"/>
      <c r="D227" s="157"/>
      <c r="E227" s="157"/>
      <c r="F227" s="157"/>
    </row>
    <row r="228" spans="2:6" ht="15.75" customHeight="1" x14ac:dyDescent="0.2">
      <c r="B228" s="157"/>
      <c r="C228" s="157"/>
      <c r="D228" s="157"/>
      <c r="E228" s="157"/>
      <c r="F228" s="157"/>
    </row>
    <row r="229" spans="2:6" ht="15.75" customHeight="1" x14ac:dyDescent="0.2">
      <c r="B229" s="157"/>
      <c r="C229" s="157"/>
      <c r="D229" s="157"/>
      <c r="E229" s="157"/>
      <c r="F229" s="157"/>
    </row>
    <row r="230" spans="2:6" ht="15.75" customHeight="1" x14ac:dyDescent="0.2">
      <c r="B230" s="157"/>
      <c r="C230" s="157"/>
      <c r="D230" s="157"/>
      <c r="E230" s="157"/>
      <c r="F230" s="157"/>
    </row>
    <row r="231" spans="2:6" ht="15.75" customHeight="1" x14ac:dyDescent="0.2">
      <c r="B231" s="157"/>
      <c r="C231" s="157"/>
      <c r="D231" s="157"/>
      <c r="E231" s="157"/>
      <c r="F231" s="157"/>
    </row>
    <row r="232" spans="2:6" ht="15.75" customHeight="1" x14ac:dyDescent="0.2">
      <c r="B232" s="157"/>
      <c r="C232" s="157"/>
      <c r="D232" s="157"/>
      <c r="E232" s="157"/>
      <c r="F232" s="157"/>
    </row>
    <row r="233" spans="2:6" ht="15.75" customHeight="1" x14ac:dyDescent="0.2">
      <c r="B233" s="157"/>
      <c r="C233" s="157"/>
      <c r="D233" s="157"/>
      <c r="E233" s="157"/>
      <c r="F233" s="157"/>
    </row>
    <row r="234" spans="2:6" ht="15.75" customHeight="1" x14ac:dyDescent="0.2">
      <c r="B234" s="157"/>
      <c r="C234" s="157"/>
      <c r="D234" s="157"/>
      <c r="E234" s="157"/>
      <c r="F234" s="157"/>
    </row>
    <row r="235" spans="2:6" ht="15.75" customHeight="1" x14ac:dyDescent="0.2">
      <c r="B235" s="157"/>
      <c r="C235" s="157"/>
      <c r="D235" s="157"/>
      <c r="E235" s="157"/>
      <c r="F235" s="157"/>
    </row>
    <row r="236" spans="2:6" ht="15.75" customHeight="1" x14ac:dyDescent="0.2">
      <c r="B236" s="157"/>
      <c r="C236" s="157"/>
      <c r="D236" s="157"/>
      <c r="E236" s="157"/>
      <c r="F236" s="157"/>
    </row>
    <row r="237" spans="2:6" ht="15.75" customHeight="1" x14ac:dyDescent="0.2">
      <c r="B237" s="157"/>
      <c r="C237" s="157"/>
      <c r="D237" s="157"/>
      <c r="E237" s="157"/>
      <c r="F237" s="157"/>
    </row>
    <row r="238" spans="2:6" ht="15.75" customHeight="1" x14ac:dyDescent="0.2">
      <c r="B238" s="157"/>
      <c r="C238" s="157"/>
      <c r="D238" s="157"/>
      <c r="E238" s="157"/>
      <c r="F238" s="157"/>
    </row>
    <row r="239" spans="2:6" ht="15.75" customHeight="1" x14ac:dyDescent="0.2">
      <c r="B239" s="157"/>
      <c r="C239" s="157"/>
      <c r="D239" s="157"/>
      <c r="E239" s="157"/>
      <c r="F239" s="157"/>
    </row>
    <row r="240" spans="2:6" ht="15.75" customHeight="1" x14ac:dyDescent="0.2">
      <c r="B240" s="157"/>
      <c r="C240" s="157"/>
      <c r="D240" s="157"/>
      <c r="E240" s="157"/>
      <c r="F240" s="157"/>
    </row>
    <row r="241" spans="2:6" ht="15.75" customHeight="1" x14ac:dyDescent="0.2">
      <c r="B241" s="157"/>
      <c r="C241" s="157"/>
      <c r="D241" s="157"/>
      <c r="E241" s="157"/>
      <c r="F241" s="157"/>
    </row>
    <row r="242" spans="2:6" ht="15.75" customHeight="1" x14ac:dyDescent="0.2">
      <c r="B242" s="157"/>
      <c r="C242" s="157"/>
      <c r="D242" s="157"/>
      <c r="E242" s="157"/>
      <c r="F242" s="157"/>
    </row>
    <row r="243" spans="2:6" ht="15.75" customHeight="1" x14ac:dyDescent="0.2">
      <c r="B243" s="157"/>
      <c r="C243" s="157"/>
      <c r="D243" s="157"/>
      <c r="E243" s="157"/>
      <c r="F243" s="157"/>
    </row>
    <row r="244" spans="2:6" ht="15.75" customHeight="1" x14ac:dyDescent="0.2">
      <c r="B244" s="157"/>
      <c r="C244" s="157"/>
      <c r="D244" s="157"/>
      <c r="E244" s="157"/>
      <c r="F244" s="157"/>
    </row>
    <row r="245" spans="2:6" ht="15.75" customHeight="1" x14ac:dyDescent="0.2">
      <c r="B245" s="157"/>
      <c r="C245" s="157"/>
      <c r="D245" s="157"/>
      <c r="E245" s="157"/>
      <c r="F245" s="157"/>
    </row>
    <row r="246" spans="2:6" ht="15.75" customHeight="1" x14ac:dyDescent="0.2">
      <c r="B246" s="157"/>
      <c r="C246" s="157"/>
      <c r="D246" s="157"/>
      <c r="E246" s="157"/>
      <c r="F246" s="157"/>
    </row>
    <row r="247" spans="2:6" ht="15.75" customHeight="1" x14ac:dyDescent="0.2">
      <c r="B247" s="157"/>
      <c r="C247" s="157"/>
      <c r="D247" s="157"/>
      <c r="E247" s="157"/>
      <c r="F247" s="157"/>
    </row>
    <row r="248" spans="2:6" ht="15.75" customHeight="1" x14ac:dyDescent="0.2">
      <c r="B248" s="157"/>
      <c r="C248" s="157"/>
      <c r="D248" s="157"/>
      <c r="E248" s="157"/>
      <c r="F248" s="157"/>
    </row>
    <row r="249" spans="2:6" ht="15.75" customHeight="1" x14ac:dyDescent="0.2">
      <c r="B249" s="157"/>
      <c r="C249" s="157"/>
      <c r="D249" s="157"/>
      <c r="E249" s="157"/>
      <c r="F249" s="157"/>
    </row>
    <row r="250" spans="2:6" ht="15.75" customHeight="1" x14ac:dyDescent="0.2">
      <c r="B250" s="157"/>
      <c r="C250" s="157"/>
      <c r="D250" s="157"/>
      <c r="E250" s="157"/>
      <c r="F250" s="157"/>
    </row>
    <row r="251" spans="2:6" ht="15.75" customHeight="1" x14ac:dyDescent="0.2">
      <c r="B251" s="157"/>
      <c r="C251" s="157"/>
      <c r="D251" s="157"/>
      <c r="E251" s="157"/>
      <c r="F251" s="157"/>
    </row>
    <row r="252" spans="2:6" ht="15.75" customHeight="1" x14ac:dyDescent="0.2">
      <c r="B252" s="157"/>
      <c r="C252" s="157"/>
      <c r="D252" s="157"/>
      <c r="E252" s="157"/>
      <c r="F252" s="157"/>
    </row>
    <row r="253" spans="2:6" ht="15.75" customHeight="1" x14ac:dyDescent="0.2">
      <c r="B253" s="157"/>
      <c r="C253" s="157"/>
      <c r="D253" s="157"/>
      <c r="E253" s="157"/>
      <c r="F253" s="157"/>
    </row>
    <row r="254" spans="2:6" ht="15.75" customHeight="1" x14ac:dyDescent="0.2">
      <c r="B254" s="157"/>
      <c r="C254" s="157"/>
      <c r="D254" s="157"/>
      <c r="E254" s="157"/>
      <c r="F254" s="157"/>
    </row>
    <row r="255" spans="2:6" ht="15.75" customHeight="1" x14ac:dyDescent="0.2">
      <c r="B255" s="157"/>
      <c r="C255" s="157"/>
      <c r="D255" s="157"/>
      <c r="E255" s="157"/>
      <c r="F255" s="157"/>
    </row>
    <row r="256" spans="2:6" ht="15.75" customHeight="1" x14ac:dyDescent="0.2">
      <c r="B256" s="157"/>
      <c r="C256" s="157"/>
      <c r="D256" s="157"/>
      <c r="E256" s="157"/>
      <c r="F256" s="157"/>
    </row>
    <row r="257" spans="2:6" ht="15.75" customHeight="1" x14ac:dyDescent="0.2">
      <c r="B257" s="157"/>
      <c r="C257" s="157"/>
      <c r="D257" s="157"/>
      <c r="E257" s="157"/>
      <c r="F257" s="157"/>
    </row>
    <row r="258" spans="2:6" ht="15.75" customHeight="1" x14ac:dyDescent="0.2">
      <c r="B258" s="157"/>
      <c r="C258" s="157"/>
      <c r="D258" s="157"/>
      <c r="E258" s="157"/>
      <c r="F258" s="157"/>
    </row>
    <row r="259" spans="2:6" ht="15.75" customHeight="1" x14ac:dyDescent="0.2">
      <c r="B259" s="157"/>
      <c r="C259" s="157"/>
      <c r="D259" s="157"/>
      <c r="E259" s="157"/>
      <c r="F259" s="157"/>
    </row>
    <row r="260" spans="2:6" ht="15.75" customHeight="1" x14ac:dyDescent="0.2">
      <c r="B260" s="157"/>
      <c r="C260" s="157"/>
      <c r="D260" s="157"/>
      <c r="E260" s="157"/>
      <c r="F260" s="157"/>
    </row>
    <row r="261" spans="2:6" ht="15.75" customHeight="1" x14ac:dyDescent="0.2">
      <c r="B261" s="157"/>
      <c r="C261" s="157"/>
      <c r="D261" s="157"/>
      <c r="E261" s="157"/>
      <c r="F261" s="157"/>
    </row>
    <row r="262" spans="2:6" ht="15.75" customHeight="1" x14ac:dyDescent="0.2">
      <c r="B262" s="157"/>
      <c r="C262" s="157"/>
      <c r="D262" s="157"/>
      <c r="E262" s="157"/>
      <c r="F262" s="157"/>
    </row>
    <row r="263" spans="2:6" ht="15.75" customHeight="1" x14ac:dyDescent="0.2">
      <c r="B263" s="157"/>
      <c r="C263" s="157"/>
      <c r="D263" s="157"/>
      <c r="E263" s="157"/>
      <c r="F263" s="157"/>
    </row>
    <row r="264" spans="2:6" ht="15.75" customHeight="1" x14ac:dyDescent="0.2">
      <c r="B264" s="157"/>
      <c r="C264" s="157"/>
      <c r="D264" s="157"/>
      <c r="E264" s="157"/>
      <c r="F264" s="157"/>
    </row>
    <row r="265" spans="2:6" ht="15.75" customHeight="1" x14ac:dyDescent="0.2">
      <c r="B265" s="157"/>
      <c r="C265" s="157"/>
      <c r="D265" s="157"/>
      <c r="E265" s="157"/>
      <c r="F265" s="157"/>
    </row>
    <row r="266" spans="2:6" ht="15.75" customHeight="1" x14ac:dyDescent="0.2">
      <c r="B266" s="157"/>
      <c r="C266" s="157"/>
      <c r="D266" s="157"/>
      <c r="E266" s="157"/>
      <c r="F266" s="157"/>
    </row>
    <row r="267" spans="2:6" ht="15.75" customHeight="1" x14ac:dyDescent="0.2">
      <c r="B267" s="157"/>
      <c r="C267" s="157"/>
      <c r="D267" s="157"/>
      <c r="E267" s="157"/>
      <c r="F267" s="157"/>
    </row>
    <row r="268" spans="2:6" ht="15.75" customHeight="1" x14ac:dyDescent="0.2">
      <c r="B268" s="157"/>
      <c r="C268" s="157"/>
      <c r="D268" s="157"/>
      <c r="E268" s="157"/>
      <c r="F268" s="157"/>
    </row>
    <row r="269" spans="2:6" ht="15.75" customHeight="1" x14ac:dyDescent="0.2">
      <c r="B269" s="157"/>
      <c r="C269" s="157"/>
      <c r="D269" s="157"/>
      <c r="E269" s="157"/>
      <c r="F269" s="157"/>
    </row>
    <row r="270" spans="2:6" ht="15.75" customHeight="1" x14ac:dyDescent="0.2">
      <c r="B270" s="157"/>
      <c r="C270" s="157"/>
      <c r="D270" s="157"/>
      <c r="E270" s="157"/>
      <c r="F270" s="157"/>
    </row>
    <row r="271" spans="2:6" ht="15.75" customHeight="1" x14ac:dyDescent="0.2">
      <c r="B271" s="157"/>
      <c r="C271" s="157"/>
      <c r="D271" s="157"/>
      <c r="E271" s="157"/>
      <c r="F271" s="157"/>
    </row>
    <row r="272" spans="2:6" ht="15.75" customHeight="1" x14ac:dyDescent="0.2">
      <c r="B272" s="157"/>
      <c r="C272" s="157"/>
      <c r="D272" s="157"/>
      <c r="E272" s="157"/>
      <c r="F272" s="157"/>
    </row>
    <row r="273" spans="2:6" ht="15.75" customHeight="1" x14ac:dyDescent="0.2">
      <c r="B273" s="157"/>
      <c r="C273" s="157"/>
      <c r="D273" s="157"/>
      <c r="E273" s="157"/>
      <c r="F273" s="157"/>
    </row>
    <row r="274" spans="2:6" ht="15.75" customHeight="1" x14ac:dyDescent="0.2">
      <c r="B274" s="157"/>
      <c r="C274" s="157"/>
      <c r="D274" s="157"/>
      <c r="E274" s="157"/>
      <c r="F274" s="157"/>
    </row>
    <row r="275" spans="2:6" ht="15.75" customHeight="1" x14ac:dyDescent="0.2">
      <c r="B275" s="157"/>
      <c r="C275" s="157"/>
      <c r="D275" s="157"/>
      <c r="E275" s="157"/>
      <c r="F275" s="157"/>
    </row>
    <row r="276" spans="2:6" ht="15.75" customHeight="1" x14ac:dyDescent="0.2">
      <c r="B276" s="157"/>
      <c r="C276" s="157"/>
      <c r="D276" s="157"/>
      <c r="E276" s="157"/>
      <c r="F276" s="157"/>
    </row>
    <row r="277" spans="2:6" ht="15.75" customHeight="1" x14ac:dyDescent="0.2">
      <c r="B277" s="157"/>
      <c r="C277" s="157"/>
      <c r="D277" s="157"/>
      <c r="E277" s="157"/>
      <c r="F277" s="157"/>
    </row>
    <row r="278" spans="2:6" ht="15.75" customHeight="1" x14ac:dyDescent="0.2">
      <c r="B278" s="157"/>
      <c r="C278" s="157"/>
      <c r="D278" s="157"/>
      <c r="E278" s="157"/>
      <c r="F278" s="157"/>
    </row>
    <row r="279" spans="2:6" ht="15.75" customHeight="1" x14ac:dyDescent="0.2">
      <c r="B279" s="157"/>
      <c r="C279" s="157"/>
      <c r="D279" s="157"/>
      <c r="E279" s="157"/>
      <c r="F279" s="157"/>
    </row>
    <row r="280" spans="2:6" ht="15.75" customHeight="1" x14ac:dyDescent="0.2">
      <c r="B280" s="157"/>
      <c r="C280" s="157"/>
      <c r="D280" s="157"/>
      <c r="E280" s="157"/>
      <c r="F280" s="157"/>
    </row>
    <row r="281" spans="2:6" ht="15.75" customHeight="1" x14ac:dyDescent="0.2">
      <c r="B281" s="157"/>
      <c r="C281" s="157"/>
      <c r="D281" s="157"/>
      <c r="E281" s="157"/>
      <c r="F281" s="157"/>
    </row>
    <row r="282" spans="2:6" ht="15.75" customHeight="1" x14ac:dyDescent="0.2">
      <c r="B282" s="157"/>
      <c r="C282" s="157"/>
      <c r="D282" s="157"/>
      <c r="E282" s="157"/>
      <c r="F282" s="157"/>
    </row>
    <row r="283" spans="2:6" ht="15.75" customHeight="1" x14ac:dyDescent="0.2">
      <c r="B283" s="157"/>
      <c r="C283" s="157"/>
      <c r="D283" s="157"/>
      <c r="E283" s="157"/>
      <c r="F283" s="157"/>
    </row>
    <row r="284" spans="2:6" ht="15.75" customHeight="1" x14ac:dyDescent="0.2">
      <c r="B284" s="157"/>
      <c r="C284" s="157"/>
      <c r="D284" s="157"/>
      <c r="E284" s="157"/>
      <c r="F284" s="157"/>
    </row>
    <row r="285" spans="2:6" ht="15.75" customHeight="1" x14ac:dyDescent="0.2">
      <c r="B285" s="157"/>
      <c r="C285" s="157"/>
      <c r="D285" s="157"/>
      <c r="E285" s="157"/>
      <c r="F285" s="157"/>
    </row>
    <row r="286" spans="2:6" ht="15.75" customHeight="1" x14ac:dyDescent="0.2">
      <c r="B286" s="157"/>
      <c r="C286" s="157"/>
      <c r="D286" s="157"/>
      <c r="E286" s="157"/>
      <c r="F286" s="157"/>
    </row>
    <row r="287" spans="2:6" ht="15.75" customHeight="1" x14ac:dyDescent="0.2">
      <c r="B287" s="157"/>
      <c r="C287" s="157"/>
      <c r="D287" s="157"/>
      <c r="E287" s="157"/>
      <c r="F287" s="157"/>
    </row>
    <row r="288" spans="2:6" ht="15.75" customHeight="1" x14ac:dyDescent="0.2">
      <c r="B288" s="157"/>
      <c r="C288" s="157"/>
      <c r="D288" s="157"/>
      <c r="E288" s="157"/>
      <c r="F288" s="157"/>
    </row>
    <row r="289" spans="2:6" ht="15.75" customHeight="1" x14ac:dyDescent="0.2">
      <c r="B289" s="157"/>
      <c r="C289" s="157"/>
      <c r="D289" s="157"/>
      <c r="E289" s="157"/>
      <c r="F289" s="157"/>
    </row>
    <row r="290" spans="2:6" ht="15.75" customHeight="1" x14ac:dyDescent="0.2">
      <c r="B290" s="157"/>
      <c r="C290" s="157"/>
      <c r="D290" s="157"/>
      <c r="E290" s="157"/>
      <c r="F290" s="157"/>
    </row>
    <row r="291" spans="2:6" ht="15.75" customHeight="1" x14ac:dyDescent="0.2">
      <c r="B291" s="157"/>
      <c r="C291" s="157"/>
      <c r="D291" s="157"/>
      <c r="E291" s="157"/>
      <c r="F291" s="157"/>
    </row>
    <row r="292" spans="2:6" ht="15.75" customHeight="1" x14ac:dyDescent="0.2">
      <c r="B292" s="157"/>
      <c r="C292" s="157"/>
      <c r="D292" s="157"/>
      <c r="E292" s="157"/>
      <c r="F292" s="157"/>
    </row>
    <row r="293" spans="2:6" ht="15.75" customHeight="1" x14ac:dyDescent="0.2">
      <c r="B293" s="157"/>
      <c r="C293" s="157"/>
      <c r="D293" s="157"/>
      <c r="E293" s="157"/>
      <c r="F293" s="157"/>
    </row>
    <row r="294" spans="2:6" ht="15.75" customHeight="1" x14ac:dyDescent="0.2">
      <c r="B294" s="157"/>
      <c r="C294" s="157"/>
      <c r="D294" s="157"/>
      <c r="E294" s="157"/>
      <c r="F294" s="157"/>
    </row>
    <row r="295" spans="2:6" ht="15.75" customHeight="1" x14ac:dyDescent="0.2">
      <c r="B295" s="157"/>
      <c r="C295" s="157"/>
      <c r="D295" s="157"/>
      <c r="E295" s="157"/>
      <c r="F295" s="157"/>
    </row>
    <row r="296" spans="2:6" ht="15.75" customHeight="1" x14ac:dyDescent="0.2">
      <c r="B296" s="157"/>
      <c r="C296" s="157"/>
      <c r="D296" s="157"/>
      <c r="E296" s="157"/>
      <c r="F296" s="157"/>
    </row>
    <row r="297" spans="2:6" ht="15.75" customHeight="1" x14ac:dyDescent="0.2">
      <c r="B297" s="157"/>
      <c r="C297" s="157"/>
      <c r="D297" s="157"/>
      <c r="E297" s="157"/>
      <c r="F297" s="157"/>
    </row>
    <row r="298" spans="2:6" ht="15.75" customHeight="1" x14ac:dyDescent="0.2">
      <c r="B298" s="157"/>
      <c r="C298" s="157"/>
      <c r="D298" s="157"/>
      <c r="E298" s="157"/>
      <c r="F298" s="157"/>
    </row>
    <row r="299" spans="2:6" ht="15.75" customHeight="1" x14ac:dyDescent="0.2">
      <c r="B299" s="157"/>
      <c r="C299" s="157"/>
      <c r="D299" s="157"/>
      <c r="E299" s="157"/>
      <c r="F299" s="157"/>
    </row>
    <row r="300" spans="2:6" ht="15.75" customHeight="1" x14ac:dyDescent="0.2">
      <c r="B300" s="157"/>
      <c r="C300" s="157"/>
      <c r="D300" s="157"/>
      <c r="E300" s="157"/>
      <c r="F300" s="157"/>
    </row>
    <row r="301" spans="2:6" ht="15.75" customHeight="1" x14ac:dyDescent="0.2">
      <c r="B301" s="157"/>
      <c r="C301" s="157"/>
      <c r="D301" s="157"/>
      <c r="E301" s="157"/>
      <c r="F301" s="157"/>
    </row>
    <row r="302" spans="2:6" ht="15.75" customHeight="1" x14ac:dyDescent="0.2">
      <c r="B302" s="157"/>
      <c r="C302" s="157"/>
      <c r="D302" s="157"/>
      <c r="E302" s="157"/>
      <c r="F302" s="157"/>
    </row>
    <row r="303" spans="2:6" ht="15.75" customHeight="1" x14ac:dyDescent="0.2">
      <c r="B303" s="157"/>
      <c r="C303" s="157"/>
      <c r="D303" s="157"/>
      <c r="E303" s="157"/>
      <c r="F303" s="157"/>
    </row>
    <row r="304" spans="2:6" ht="15.75" customHeight="1" x14ac:dyDescent="0.2">
      <c r="B304" s="157"/>
      <c r="C304" s="157"/>
      <c r="D304" s="157"/>
      <c r="E304" s="157"/>
      <c r="F304" s="157"/>
    </row>
    <row r="305" spans="2:6" ht="15.75" customHeight="1" x14ac:dyDescent="0.2">
      <c r="B305" s="157"/>
      <c r="C305" s="157"/>
      <c r="D305" s="157"/>
      <c r="E305" s="157"/>
      <c r="F305" s="157"/>
    </row>
    <row r="306" spans="2:6" ht="15.75" customHeight="1" x14ac:dyDescent="0.2">
      <c r="B306" s="157"/>
      <c r="C306" s="157"/>
      <c r="D306" s="157"/>
      <c r="E306" s="157"/>
      <c r="F306" s="157"/>
    </row>
    <row r="307" spans="2:6" ht="15.75" customHeight="1" x14ac:dyDescent="0.2">
      <c r="B307" s="157"/>
      <c r="C307" s="157"/>
      <c r="D307" s="157"/>
      <c r="E307" s="157"/>
      <c r="F307" s="157"/>
    </row>
    <row r="308" spans="2:6" ht="15.75" customHeight="1" x14ac:dyDescent="0.2">
      <c r="B308" s="157"/>
      <c r="C308" s="157"/>
      <c r="D308" s="157"/>
      <c r="E308" s="157"/>
      <c r="F308" s="157"/>
    </row>
    <row r="309" spans="2:6" ht="15.75" customHeight="1" x14ac:dyDescent="0.2">
      <c r="B309" s="157"/>
      <c r="C309" s="157"/>
      <c r="D309" s="157"/>
      <c r="E309" s="157"/>
      <c r="F309" s="157"/>
    </row>
    <row r="310" spans="2:6" ht="15.75" customHeight="1" x14ac:dyDescent="0.2">
      <c r="B310" s="157"/>
      <c r="C310" s="157"/>
      <c r="D310" s="157"/>
      <c r="E310" s="157"/>
      <c r="F310" s="157"/>
    </row>
    <row r="311" spans="2:6" ht="15.75" customHeight="1" x14ac:dyDescent="0.2">
      <c r="B311" s="157"/>
      <c r="C311" s="157"/>
      <c r="D311" s="157"/>
      <c r="E311" s="157"/>
      <c r="F311" s="157"/>
    </row>
    <row r="312" spans="2:6" ht="15.75" customHeight="1" x14ac:dyDescent="0.2">
      <c r="B312" s="157"/>
      <c r="C312" s="157"/>
      <c r="D312" s="157"/>
      <c r="E312" s="157"/>
      <c r="F312" s="157"/>
    </row>
    <row r="313" spans="2:6" ht="15.75" customHeight="1" x14ac:dyDescent="0.2">
      <c r="B313" s="157"/>
      <c r="C313" s="157"/>
      <c r="D313" s="157"/>
      <c r="E313" s="157"/>
      <c r="F313" s="157"/>
    </row>
    <row r="314" spans="2:6" ht="15.75" customHeight="1" x14ac:dyDescent="0.2">
      <c r="B314" s="157"/>
      <c r="C314" s="157"/>
      <c r="D314" s="157"/>
      <c r="E314" s="157"/>
      <c r="F314" s="157"/>
    </row>
    <row r="315" spans="2:6" ht="15.75" customHeight="1" x14ac:dyDescent="0.2">
      <c r="B315" s="157"/>
      <c r="C315" s="157"/>
      <c r="D315" s="157"/>
      <c r="E315" s="157"/>
      <c r="F315" s="157"/>
    </row>
    <row r="316" spans="2:6" ht="15.75" customHeight="1" x14ac:dyDescent="0.2">
      <c r="B316" s="157"/>
      <c r="C316" s="157"/>
      <c r="D316" s="157"/>
      <c r="E316" s="157"/>
      <c r="F316" s="157"/>
    </row>
    <row r="317" spans="2:6" ht="15.75" customHeight="1" x14ac:dyDescent="0.2">
      <c r="B317" s="157"/>
      <c r="C317" s="157"/>
      <c r="D317" s="157"/>
      <c r="E317" s="157"/>
      <c r="F317" s="157"/>
    </row>
    <row r="318" spans="2:6" ht="15.75" customHeight="1" x14ac:dyDescent="0.2">
      <c r="B318" s="157"/>
      <c r="C318" s="157"/>
      <c r="D318" s="157"/>
      <c r="E318" s="157"/>
      <c r="F318" s="157"/>
    </row>
    <row r="319" spans="2:6" ht="15.75" customHeight="1" x14ac:dyDescent="0.2">
      <c r="B319" s="157"/>
      <c r="C319" s="157"/>
      <c r="D319" s="157"/>
      <c r="E319" s="157"/>
      <c r="F319" s="157"/>
    </row>
    <row r="320" spans="2:6" ht="15.75" customHeight="1" x14ac:dyDescent="0.2">
      <c r="B320" s="157"/>
      <c r="C320" s="157"/>
      <c r="D320" s="157"/>
      <c r="E320" s="157"/>
      <c r="F320" s="157"/>
    </row>
    <row r="321" spans="2:6" ht="15.75" customHeight="1" x14ac:dyDescent="0.2">
      <c r="B321" s="157"/>
      <c r="C321" s="157"/>
      <c r="D321" s="157"/>
      <c r="E321" s="157"/>
      <c r="F321" s="157"/>
    </row>
    <row r="322" spans="2:6" ht="15.75" customHeight="1" x14ac:dyDescent="0.2">
      <c r="B322" s="157"/>
      <c r="C322" s="157"/>
      <c r="D322" s="157"/>
      <c r="E322" s="157"/>
      <c r="F322" s="157"/>
    </row>
    <row r="323" spans="2:6" ht="15.75" customHeight="1" x14ac:dyDescent="0.2">
      <c r="B323" s="157"/>
      <c r="C323" s="157"/>
      <c r="D323" s="157"/>
      <c r="E323" s="157"/>
      <c r="F323" s="157"/>
    </row>
    <row r="324" spans="2:6" ht="15.75" customHeight="1" x14ac:dyDescent="0.2">
      <c r="B324" s="157"/>
      <c r="C324" s="157"/>
      <c r="D324" s="157"/>
      <c r="E324" s="157"/>
      <c r="F324" s="157"/>
    </row>
    <row r="325" spans="2:6" ht="15.75" customHeight="1" x14ac:dyDescent="0.2">
      <c r="B325" s="157"/>
      <c r="C325" s="157"/>
      <c r="D325" s="157"/>
      <c r="E325" s="157"/>
      <c r="F325" s="157"/>
    </row>
    <row r="326" spans="2:6" ht="15.75" customHeight="1" x14ac:dyDescent="0.2">
      <c r="B326" s="157"/>
      <c r="C326" s="157"/>
      <c r="D326" s="157"/>
      <c r="E326" s="157"/>
      <c r="F326" s="157"/>
    </row>
    <row r="327" spans="2:6" ht="15.75" customHeight="1" x14ac:dyDescent="0.2">
      <c r="B327" s="157"/>
      <c r="C327" s="157"/>
      <c r="D327" s="157"/>
      <c r="E327" s="157"/>
      <c r="F327" s="157"/>
    </row>
    <row r="328" spans="2:6" ht="15.75" customHeight="1" x14ac:dyDescent="0.2">
      <c r="B328" s="157"/>
      <c r="C328" s="157"/>
      <c r="D328" s="157"/>
      <c r="E328" s="157"/>
      <c r="F328" s="157"/>
    </row>
    <row r="329" spans="2:6" ht="15.75" customHeight="1" x14ac:dyDescent="0.2">
      <c r="B329" s="157"/>
      <c r="C329" s="157"/>
      <c r="D329" s="157"/>
      <c r="E329" s="157"/>
      <c r="F329" s="157"/>
    </row>
    <row r="330" spans="2:6" ht="15.75" customHeight="1" x14ac:dyDescent="0.2">
      <c r="B330" s="157"/>
      <c r="C330" s="157"/>
      <c r="D330" s="157"/>
      <c r="E330" s="157"/>
      <c r="F330" s="157"/>
    </row>
    <row r="331" spans="2:6" ht="15.75" customHeight="1" x14ac:dyDescent="0.2">
      <c r="B331" s="157"/>
      <c r="C331" s="157"/>
      <c r="D331" s="157"/>
      <c r="E331" s="157"/>
      <c r="F331" s="157"/>
    </row>
    <row r="332" spans="2:6" ht="15.75" customHeight="1" x14ac:dyDescent="0.2">
      <c r="B332" s="157"/>
      <c r="C332" s="157"/>
      <c r="D332" s="157"/>
      <c r="E332" s="157"/>
      <c r="F332" s="157"/>
    </row>
    <row r="333" spans="2:6" ht="15.75" customHeight="1" x14ac:dyDescent="0.2">
      <c r="B333" s="157"/>
      <c r="C333" s="157"/>
      <c r="D333" s="157"/>
      <c r="E333" s="157"/>
      <c r="F333" s="157"/>
    </row>
    <row r="334" spans="2:6" ht="15.75" customHeight="1" x14ac:dyDescent="0.2">
      <c r="B334" s="157"/>
      <c r="C334" s="157"/>
      <c r="D334" s="157"/>
      <c r="E334" s="157"/>
      <c r="F334" s="157"/>
    </row>
    <row r="335" spans="2:6" ht="15.75" customHeight="1" x14ac:dyDescent="0.2">
      <c r="B335" s="157"/>
      <c r="C335" s="157"/>
      <c r="D335" s="157"/>
      <c r="E335" s="157"/>
      <c r="F335" s="157"/>
    </row>
    <row r="336" spans="2:6" ht="15.75" customHeight="1" x14ac:dyDescent="0.2">
      <c r="B336" s="157"/>
      <c r="C336" s="157"/>
      <c r="D336" s="157"/>
      <c r="E336" s="157"/>
      <c r="F336" s="157"/>
    </row>
    <row r="337" spans="2:6" ht="15.75" customHeight="1" x14ac:dyDescent="0.2">
      <c r="B337" s="157"/>
      <c r="C337" s="157"/>
      <c r="D337" s="157"/>
      <c r="E337" s="157"/>
      <c r="F337" s="157"/>
    </row>
    <row r="338" spans="2:6" ht="15.75" customHeight="1" x14ac:dyDescent="0.2">
      <c r="B338" s="157"/>
      <c r="C338" s="157"/>
      <c r="D338" s="157"/>
      <c r="E338" s="157"/>
      <c r="F338" s="157"/>
    </row>
    <row r="339" spans="2:6" ht="15.75" customHeight="1" x14ac:dyDescent="0.2">
      <c r="B339" s="157"/>
      <c r="C339" s="157"/>
      <c r="D339" s="157"/>
      <c r="E339" s="157"/>
      <c r="F339" s="157"/>
    </row>
    <row r="340" spans="2:6" ht="15.75" customHeight="1" x14ac:dyDescent="0.2">
      <c r="B340" s="157"/>
      <c r="C340" s="157"/>
      <c r="D340" s="157"/>
      <c r="E340" s="157"/>
      <c r="F340" s="157"/>
    </row>
    <row r="341" spans="2:6" ht="15.75" customHeight="1" x14ac:dyDescent="0.2">
      <c r="B341" s="157"/>
      <c r="C341" s="157"/>
      <c r="D341" s="157"/>
      <c r="E341" s="157"/>
      <c r="F341" s="157"/>
    </row>
    <row r="342" spans="2:6" ht="15.75" customHeight="1" x14ac:dyDescent="0.2">
      <c r="B342" s="157"/>
      <c r="C342" s="157"/>
      <c r="D342" s="157"/>
      <c r="E342" s="157"/>
      <c r="F342" s="157"/>
    </row>
    <row r="343" spans="2:6" ht="15.75" customHeight="1" x14ac:dyDescent="0.2">
      <c r="B343" s="157"/>
      <c r="C343" s="157"/>
      <c r="D343" s="157"/>
      <c r="E343" s="157"/>
      <c r="F343" s="157"/>
    </row>
    <row r="344" spans="2:6" ht="15.75" customHeight="1" x14ac:dyDescent="0.2">
      <c r="B344" s="157"/>
      <c r="C344" s="157"/>
      <c r="D344" s="157"/>
      <c r="E344" s="157"/>
      <c r="F344" s="157"/>
    </row>
    <row r="345" spans="2:6" ht="15.75" customHeight="1" x14ac:dyDescent="0.2">
      <c r="B345" s="157"/>
      <c r="C345" s="157"/>
      <c r="D345" s="157"/>
      <c r="E345" s="157"/>
      <c r="F345" s="157"/>
    </row>
    <row r="346" spans="2:6" ht="15.75" customHeight="1" x14ac:dyDescent="0.2">
      <c r="B346" s="157"/>
      <c r="C346" s="157"/>
      <c r="D346" s="157"/>
      <c r="E346" s="157"/>
      <c r="F346" s="157"/>
    </row>
    <row r="347" spans="2:6" ht="15.75" customHeight="1" x14ac:dyDescent="0.2">
      <c r="B347" s="157"/>
      <c r="C347" s="157"/>
      <c r="D347" s="157"/>
      <c r="E347" s="157"/>
      <c r="F347" s="157"/>
    </row>
    <row r="348" spans="2:6" ht="15.75" customHeight="1" x14ac:dyDescent="0.2">
      <c r="B348" s="157"/>
      <c r="C348" s="157"/>
      <c r="D348" s="157"/>
      <c r="E348" s="157"/>
      <c r="F348" s="157"/>
    </row>
    <row r="349" spans="2:6" ht="15.75" customHeight="1" x14ac:dyDescent="0.2">
      <c r="B349" s="157"/>
      <c r="C349" s="157"/>
      <c r="D349" s="157"/>
      <c r="E349" s="157"/>
      <c r="F349" s="157"/>
    </row>
    <row r="350" spans="2:6" ht="15.75" customHeight="1" x14ac:dyDescent="0.2">
      <c r="B350" s="157"/>
      <c r="C350" s="157"/>
      <c r="D350" s="157"/>
      <c r="E350" s="157"/>
      <c r="F350" s="157"/>
    </row>
    <row r="351" spans="2:6" ht="15.75" customHeight="1" x14ac:dyDescent="0.2">
      <c r="B351" s="157"/>
      <c r="C351" s="157"/>
      <c r="D351" s="157"/>
      <c r="E351" s="157"/>
      <c r="F351" s="157"/>
    </row>
    <row r="352" spans="2:6" ht="15.75" customHeight="1" x14ac:dyDescent="0.2">
      <c r="B352" s="157"/>
      <c r="C352" s="157"/>
      <c r="D352" s="157"/>
      <c r="E352" s="157"/>
      <c r="F352" s="157"/>
    </row>
    <row r="353" spans="2:6" ht="15.75" customHeight="1" x14ac:dyDescent="0.2">
      <c r="B353" s="157"/>
      <c r="C353" s="157"/>
      <c r="D353" s="157"/>
      <c r="E353" s="157"/>
      <c r="F353" s="157"/>
    </row>
    <row r="354" spans="2:6" ht="15.75" customHeight="1" x14ac:dyDescent="0.2">
      <c r="B354" s="157"/>
      <c r="C354" s="157"/>
      <c r="D354" s="157"/>
      <c r="E354" s="157"/>
      <c r="F354" s="157"/>
    </row>
    <row r="355" spans="2:6" ht="15.75" customHeight="1" x14ac:dyDescent="0.2">
      <c r="B355" s="157"/>
      <c r="C355" s="157"/>
      <c r="D355" s="157"/>
      <c r="E355" s="157"/>
      <c r="F355" s="157"/>
    </row>
    <row r="356" spans="2:6" ht="15.75" customHeight="1" x14ac:dyDescent="0.2">
      <c r="B356" s="157"/>
      <c r="C356" s="157"/>
      <c r="D356" s="157"/>
      <c r="E356" s="157"/>
      <c r="F356" s="157"/>
    </row>
    <row r="357" spans="2:6" ht="15.75" customHeight="1" x14ac:dyDescent="0.2">
      <c r="B357" s="157"/>
      <c r="C357" s="157"/>
      <c r="D357" s="157"/>
      <c r="E357" s="157"/>
      <c r="F357" s="157"/>
    </row>
    <row r="358" spans="2:6" ht="15.75" customHeight="1" x14ac:dyDescent="0.2">
      <c r="B358" s="157"/>
      <c r="C358" s="157"/>
      <c r="D358" s="157"/>
      <c r="E358" s="157"/>
      <c r="F358" s="157"/>
    </row>
    <row r="359" spans="2:6" ht="15.75" customHeight="1" x14ac:dyDescent="0.2">
      <c r="B359" s="157"/>
      <c r="C359" s="157"/>
      <c r="D359" s="157"/>
      <c r="E359" s="157"/>
      <c r="F359" s="157"/>
    </row>
    <row r="360" spans="2:6" ht="15.75" customHeight="1" x14ac:dyDescent="0.2">
      <c r="B360" s="157"/>
      <c r="C360" s="157"/>
      <c r="D360" s="157"/>
      <c r="E360" s="157"/>
      <c r="F360" s="157"/>
    </row>
    <row r="361" spans="2:6" ht="15.75" customHeight="1" x14ac:dyDescent="0.2">
      <c r="B361" s="157"/>
      <c r="C361" s="157"/>
      <c r="D361" s="157"/>
      <c r="E361" s="157"/>
      <c r="F361" s="157"/>
    </row>
    <row r="362" spans="2:6" ht="15.75" customHeight="1" x14ac:dyDescent="0.2">
      <c r="B362" s="157"/>
      <c r="C362" s="157"/>
      <c r="D362" s="157"/>
      <c r="E362" s="157"/>
      <c r="F362" s="157"/>
    </row>
    <row r="363" spans="2:6" ht="15.75" customHeight="1" x14ac:dyDescent="0.2">
      <c r="B363" s="157"/>
      <c r="C363" s="157"/>
      <c r="D363" s="157"/>
      <c r="E363" s="157"/>
      <c r="F363" s="157"/>
    </row>
    <row r="364" spans="2:6" ht="15.75" customHeight="1" x14ac:dyDescent="0.2">
      <c r="B364" s="157"/>
      <c r="C364" s="157"/>
      <c r="D364" s="157"/>
      <c r="E364" s="157"/>
      <c r="F364" s="157"/>
    </row>
    <row r="365" spans="2:6" ht="15.75" customHeight="1" x14ac:dyDescent="0.2">
      <c r="B365" s="157"/>
      <c r="C365" s="157"/>
      <c r="D365" s="157"/>
      <c r="E365" s="157"/>
      <c r="F365" s="157"/>
    </row>
    <row r="366" spans="2:6" ht="15.75" customHeight="1" x14ac:dyDescent="0.2">
      <c r="B366" s="157"/>
      <c r="C366" s="157"/>
      <c r="D366" s="157"/>
      <c r="E366" s="157"/>
      <c r="F366" s="157"/>
    </row>
    <row r="367" spans="2:6" ht="15.75" customHeight="1" x14ac:dyDescent="0.2">
      <c r="B367" s="157"/>
      <c r="C367" s="157"/>
      <c r="D367" s="157"/>
      <c r="E367" s="157"/>
      <c r="F367" s="157"/>
    </row>
    <row r="368" spans="2:6" ht="15.75" customHeight="1" x14ac:dyDescent="0.2">
      <c r="B368" s="157"/>
      <c r="C368" s="157"/>
      <c r="D368" s="157"/>
      <c r="E368" s="157"/>
      <c r="F368" s="157"/>
    </row>
    <row r="369" spans="2:6" ht="15.75" customHeight="1" x14ac:dyDescent="0.2">
      <c r="B369" s="157"/>
      <c r="C369" s="157"/>
      <c r="D369" s="157"/>
      <c r="E369" s="157"/>
      <c r="F369" s="157"/>
    </row>
    <row r="370" spans="2:6" ht="15.75" customHeight="1" x14ac:dyDescent="0.2">
      <c r="B370" s="157"/>
      <c r="C370" s="157"/>
      <c r="D370" s="157"/>
      <c r="E370" s="157"/>
      <c r="F370" s="157"/>
    </row>
    <row r="371" spans="2:6" ht="15.75" customHeight="1" x14ac:dyDescent="0.2">
      <c r="B371" s="157"/>
      <c r="C371" s="157"/>
      <c r="D371" s="157"/>
      <c r="E371" s="157"/>
      <c r="F371" s="157"/>
    </row>
    <row r="372" spans="2:6" ht="15.75" customHeight="1" x14ac:dyDescent="0.2">
      <c r="B372" s="157"/>
      <c r="C372" s="157"/>
      <c r="D372" s="157"/>
      <c r="E372" s="157"/>
      <c r="F372" s="157"/>
    </row>
    <row r="373" spans="2:6" ht="15.75" customHeight="1" x14ac:dyDescent="0.2">
      <c r="B373" s="157"/>
      <c r="C373" s="157"/>
      <c r="D373" s="157"/>
      <c r="E373" s="157"/>
      <c r="F373" s="157"/>
    </row>
    <row r="374" spans="2:6" ht="15.75" customHeight="1" x14ac:dyDescent="0.2">
      <c r="B374" s="157"/>
      <c r="C374" s="157"/>
      <c r="D374" s="157"/>
      <c r="E374" s="157"/>
      <c r="F374" s="157"/>
    </row>
    <row r="375" spans="2:6" ht="15.75" customHeight="1" x14ac:dyDescent="0.2">
      <c r="B375" s="157"/>
      <c r="C375" s="157"/>
      <c r="D375" s="157"/>
      <c r="E375" s="157"/>
      <c r="F375" s="157"/>
    </row>
    <row r="376" spans="2:6" ht="15.75" customHeight="1" x14ac:dyDescent="0.2">
      <c r="B376" s="157"/>
      <c r="C376" s="157"/>
      <c r="D376" s="157"/>
      <c r="E376" s="157"/>
      <c r="F376" s="157"/>
    </row>
    <row r="377" spans="2:6" ht="15.75" customHeight="1" x14ac:dyDescent="0.2">
      <c r="B377" s="157"/>
      <c r="C377" s="157"/>
      <c r="D377" s="157"/>
      <c r="E377" s="157"/>
      <c r="F377" s="157"/>
    </row>
    <row r="378" spans="2:6" ht="15.75" customHeight="1" x14ac:dyDescent="0.2">
      <c r="B378" s="157"/>
      <c r="C378" s="157"/>
      <c r="D378" s="157"/>
      <c r="E378" s="157"/>
      <c r="F378" s="157"/>
    </row>
    <row r="379" spans="2:6" ht="15.75" customHeight="1" x14ac:dyDescent="0.2">
      <c r="B379" s="157"/>
      <c r="C379" s="157"/>
      <c r="D379" s="157"/>
      <c r="E379" s="157"/>
      <c r="F379" s="157"/>
    </row>
    <row r="380" spans="2:6" ht="15.75" customHeight="1" x14ac:dyDescent="0.2">
      <c r="B380" s="157"/>
      <c r="C380" s="157"/>
      <c r="D380" s="157"/>
      <c r="E380" s="157"/>
      <c r="F380" s="157"/>
    </row>
    <row r="381" spans="2:6" ht="15.75" customHeight="1" x14ac:dyDescent="0.2">
      <c r="B381" s="157"/>
      <c r="C381" s="157"/>
      <c r="D381" s="157"/>
      <c r="E381" s="157"/>
      <c r="F381" s="157"/>
    </row>
    <row r="382" spans="2:6" ht="15.75" customHeight="1" x14ac:dyDescent="0.2">
      <c r="B382" s="157"/>
      <c r="C382" s="157"/>
      <c r="D382" s="157"/>
      <c r="E382" s="157"/>
      <c r="F382" s="157"/>
    </row>
    <row r="383" spans="2:6" ht="15.75" customHeight="1" x14ac:dyDescent="0.2">
      <c r="B383" s="157"/>
      <c r="C383" s="157"/>
      <c r="D383" s="157"/>
      <c r="E383" s="157"/>
      <c r="F383" s="157"/>
    </row>
    <row r="384" spans="2:6" ht="15.75" customHeight="1" x14ac:dyDescent="0.2">
      <c r="B384" s="157"/>
      <c r="C384" s="157"/>
      <c r="D384" s="157"/>
      <c r="E384" s="157"/>
      <c r="F384" s="157"/>
    </row>
    <row r="385" spans="2:6" ht="15.75" customHeight="1" x14ac:dyDescent="0.2">
      <c r="B385" s="157"/>
      <c r="C385" s="157"/>
      <c r="D385" s="157"/>
      <c r="E385" s="157"/>
      <c r="F385" s="157"/>
    </row>
    <row r="386" spans="2:6" ht="15.75" customHeight="1" x14ac:dyDescent="0.2">
      <c r="B386" s="157"/>
      <c r="C386" s="157"/>
      <c r="D386" s="157"/>
      <c r="E386" s="157"/>
      <c r="F386" s="157"/>
    </row>
    <row r="387" spans="2:6" ht="15.75" customHeight="1" x14ac:dyDescent="0.2">
      <c r="B387" s="157"/>
      <c r="C387" s="157"/>
      <c r="D387" s="157"/>
      <c r="E387" s="157"/>
      <c r="F387" s="157"/>
    </row>
    <row r="388" spans="2:6" ht="15.75" customHeight="1" x14ac:dyDescent="0.2">
      <c r="B388" s="157"/>
      <c r="C388" s="157"/>
      <c r="D388" s="157"/>
      <c r="E388" s="157"/>
      <c r="F388" s="157"/>
    </row>
    <row r="389" spans="2:6" ht="15.75" customHeight="1" x14ac:dyDescent="0.2">
      <c r="B389" s="157"/>
      <c r="C389" s="157"/>
      <c r="D389" s="157"/>
      <c r="E389" s="157"/>
      <c r="F389" s="157"/>
    </row>
    <row r="390" spans="2:6" ht="15.75" customHeight="1" x14ac:dyDescent="0.2">
      <c r="B390" s="157"/>
      <c r="C390" s="157"/>
      <c r="D390" s="157"/>
      <c r="E390" s="157"/>
      <c r="F390" s="157"/>
    </row>
    <row r="391" spans="2:6" ht="15.75" customHeight="1" x14ac:dyDescent="0.2">
      <c r="B391" s="157"/>
      <c r="C391" s="157"/>
      <c r="D391" s="157"/>
      <c r="E391" s="157"/>
      <c r="F391" s="157"/>
    </row>
    <row r="392" spans="2:6" ht="15.75" customHeight="1" x14ac:dyDescent="0.2">
      <c r="B392" s="157"/>
      <c r="C392" s="157"/>
      <c r="D392" s="157"/>
      <c r="E392" s="157"/>
      <c r="F392" s="157"/>
    </row>
    <row r="393" spans="2:6" ht="15.75" customHeight="1" x14ac:dyDescent="0.2">
      <c r="B393" s="157"/>
      <c r="C393" s="157"/>
      <c r="D393" s="157"/>
      <c r="E393" s="157"/>
      <c r="F393" s="157"/>
    </row>
    <row r="394" spans="2:6" ht="15.75" customHeight="1" x14ac:dyDescent="0.2">
      <c r="B394" s="157"/>
      <c r="C394" s="157"/>
      <c r="D394" s="157"/>
      <c r="E394" s="157"/>
      <c r="F394" s="157"/>
    </row>
    <row r="395" spans="2:6" ht="15.75" customHeight="1" x14ac:dyDescent="0.2">
      <c r="B395" s="157"/>
      <c r="C395" s="157"/>
      <c r="D395" s="157"/>
      <c r="E395" s="157"/>
      <c r="F395" s="157"/>
    </row>
    <row r="396" spans="2:6" ht="15.75" customHeight="1" x14ac:dyDescent="0.2">
      <c r="B396" s="157"/>
      <c r="C396" s="157"/>
      <c r="D396" s="157"/>
      <c r="E396" s="157"/>
      <c r="F396" s="157"/>
    </row>
    <row r="397" spans="2:6" ht="15.75" customHeight="1" x14ac:dyDescent="0.2">
      <c r="B397" s="157"/>
      <c r="C397" s="157"/>
      <c r="D397" s="157"/>
      <c r="E397" s="157"/>
      <c r="F397" s="157"/>
    </row>
    <row r="398" spans="2:6" ht="15.75" customHeight="1" x14ac:dyDescent="0.2">
      <c r="B398" s="157"/>
      <c r="C398" s="157"/>
      <c r="D398" s="157"/>
      <c r="E398" s="157"/>
      <c r="F398" s="157"/>
    </row>
    <row r="399" spans="2:6" ht="15.75" customHeight="1" x14ac:dyDescent="0.2">
      <c r="B399" s="157"/>
      <c r="C399" s="157"/>
      <c r="D399" s="157"/>
      <c r="E399" s="157"/>
      <c r="F399" s="157"/>
    </row>
    <row r="400" spans="2:6" ht="15.75" customHeight="1" x14ac:dyDescent="0.2">
      <c r="B400" s="157"/>
      <c r="C400" s="157"/>
      <c r="D400" s="157"/>
      <c r="E400" s="157"/>
      <c r="F400" s="157"/>
    </row>
    <row r="401" spans="2:6" ht="15.75" customHeight="1" x14ac:dyDescent="0.2">
      <c r="B401" s="157"/>
      <c r="C401" s="157"/>
      <c r="D401" s="157"/>
      <c r="E401" s="157"/>
      <c r="F401" s="157"/>
    </row>
    <row r="402" spans="2:6" ht="15.75" customHeight="1" x14ac:dyDescent="0.2">
      <c r="B402" s="157"/>
      <c r="C402" s="157"/>
      <c r="D402" s="157"/>
      <c r="E402" s="157"/>
      <c r="F402" s="157"/>
    </row>
    <row r="403" spans="2:6" ht="15.75" customHeight="1" x14ac:dyDescent="0.2">
      <c r="B403" s="157"/>
      <c r="C403" s="157"/>
      <c r="D403" s="157"/>
      <c r="E403" s="157"/>
      <c r="F403" s="157"/>
    </row>
    <row r="404" spans="2:6" ht="15.75" customHeight="1" x14ac:dyDescent="0.2">
      <c r="B404" s="157"/>
      <c r="C404" s="157"/>
      <c r="D404" s="157"/>
      <c r="E404" s="157"/>
      <c r="F404" s="157"/>
    </row>
    <row r="405" spans="2:6" ht="15.75" customHeight="1" x14ac:dyDescent="0.2">
      <c r="B405" s="157"/>
      <c r="C405" s="157"/>
      <c r="D405" s="157"/>
      <c r="E405" s="157"/>
      <c r="F405" s="157"/>
    </row>
    <row r="406" spans="2:6" ht="15.75" customHeight="1" x14ac:dyDescent="0.2">
      <c r="B406" s="157"/>
      <c r="C406" s="157"/>
      <c r="D406" s="157"/>
      <c r="E406" s="157"/>
      <c r="F406" s="157"/>
    </row>
    <row r="407" spans="2:6" ht="15.75" customHeight="1" x14ac:dyDescent="0.2">
      <c r="B407" s="157"/>
      <c r="C407" s="157"/>
      <c r="D407" s="157"/>
      <c r="E407" s="157"/>
      <c r="F407" s="157"/>
    </row>
    <row r="408" spans="2:6" ht="15.75" customHeight="1" x14ac:dyDescent="0.2">
      <c r="B408" s="157"/>
      <c r="C408" s="157"/>
      <c r="D408" s="157"/>
      <c r="E408" s="157"/>
      <c r="F408" s="157"/>
    </row>
    <row r="409" spans="2:6" ht="15.75" customHeight="1" x14ac:dyDescent="0.2">
      <c r="B409" s="157"/>
      <c r="C409" s="157"/>
      <c r="D409" s="157"/>
      <c r="E409" s="157"/>
      <c r="F409" s="157"/>
    </row>
    <row r="410" spans="2:6" ht="15.75" customHeight="1" x14ac:dyDescent="0.2">
      <c r="B410" s="157"/>
      <c r="C410" s="157"/>
      <c r="D410" s="157"/>
      <c r="E410" s="157"/>
      <c r="F410" s="157"/>
    </row>
    <row r="411" spans="2:6" ht="15.75" customHeight="1" x14ac:dyDescent="0.2">
      <c r="B411" s="157"/>
      <c r="C411" s="157"/>
      <c r="D411" s="157"/>
      <c r="E411" s="157"/>
      <c r="F411" s="157"/>
    </row>
    <row r="412" spans="2:6" ht="15.75" customHeight="1" x14ac:dyDescent="0.2">
      <c r="B412" s="157"/>
      <c r="C412" s="157"/>
      <c r="D412" s="157"/>
      <c r="E412" s="157"/>
      <c r="F412" s="157"/>
    </row>
    <row r="413" spans="2:6" ht="15.75" customHeight="1" x14ac:dyDescent="0.2">
      <c r="B413" s="157"/>
      <c r="C413" s="157"/>
      <c r="D413" s="157"/>
      <c r="E413" s="157"/>
      <c r="F413" s="157"/>
    </row>
    <row r="414" spans="2:6" ht="15.75" customHeight="1" x14ac:dyDescent="0.2">
      <c r="B414" s="157"/>
      <c r="C414" s="157"/>
      <c r="D414" s="157"/>
      <c r="E414" s="157"/>
      <c r="F414" s="157"/>
    </row>
    <row r="415" spans="2:6" ht="15.75" customHeight="1" x14ac:dyDescent="0.2">
      <c r="B415" s="157"/>
      <c r="C415" s="157"/>
      <c r="D415" s="157"/>
      <c r="E415" s="157"/>
      <c r="F415" s="157"/>
    </row>
    <row r="416" spans="2:6" ht="15.75" customHeight="1" x14ac:dyDescent="0.2">
      <c r="B416" s="157"/>
      <c r="C416" s="157"/>
      <c r="D416" s="157"/>
      <c r="E416" s="157"/>
      <c r="F416" s="157"/>
    </row>
    <row r="417" spans="2:6" ht="15.75" customHeight="1" x14ac:dyDescent="0.2">
      <c r="B417" s="157"/>
      <c r="C417" s="157"/>
      <c r="D417" s="157"/>
      <c r="E417" s="157"/>
      <c r="F417" s="157"/>
    </row>
    <row r="418" spans="2:6" ht="15.75" customHeight="1" x14ac:dyDescent="0.2">
      <c r="B418" s="157"/>
      <c r="C418" s="157"/>
      <c r="D418" s="157"/>
      <c r="E418" s="157"/>
      <c r="F418" s="157"/>
    </row>
    <row r="419" spans="2:6" ht="15.75" customHeight="1" x14ac:dyDescent="0.2">
      <c r="B419" s="157"/>
      <c r="C419" s="157"/>
      <c r="D419" s="157"/>
      <c r="E419" s="157"/>
      <c r="F419" s="157"/>
    </row>
    <row r="420" spans="2:6" ht="15.75" customHeight="1" x14ac:dyDescent="0.2">
      <c r="B420" s="157"/>
      <c r="C420" s="157"/>
      <c r="D420" s="157"/>
      <c r="E420" s="157"/>
      <c r="F420" s="157"/>
    </row>
    <row r="421" spans="2:6" ht="15.75" customHeight="1" x14ac:dyDescent="0.2">
      <c r="B421" s="157"/>
      <c r="C421" s="157"/>
      <c r="D421" s="157"/>
      <c r="E421" s="157"/>
      <c r="F421" s="157"/>
    </row>
    <row r="422" spans="2:6" ht="15.75" customHeight="1" x14ac:dyDescent="0.2">
      <c r="B422" s="157"/>
      <c r="C422" s="157"/>
      <c r="D422" s="157"/>
      <c r="E422" s="157"/>
      <c r="F422" s="157"/>
    </row>
    <row r="423" spans="2:6" ht="15.75" customHeight="1" x14ac:dyDescent="0.2">
      <c r="B423" s="157"/>
      <c r="C423" s="157"/>
      <c r="D423" s="157"/>
      <c r="E423" s="157"/>
      <c r="F423" s="157"/>
    </row>
    <row r="424" spans="2:6" ht="15.75" customHeight="1" x14ac:dyDescent="0.2">
      <c r="B424" s="157"/>
      <c r="C424" s="157"/>
      <c r="D424" s="157"/>
      <c r="E424" s="157"/>
      <c r="F424" s="157"/>
    </row>
    <row r="425" spans="2:6" ht="15.75" customHeight="1" x14ac:dyDescent="0.2">
      <c r="B425" s="157"/>
      <c r="C425" s="157"/>
      <c r="D425" s="157"/>
      <c r="E425" s="157"/>
      <c r="F425" s="157"/>
    </row>
    <row r="426" spans="2:6" ht="15.75" customHeight="1" x14ac:dyDescent="0.2">
      <c r="B426" s="157"/>
      <c r="C426" s="157"/>
      <c r="D426" s="157"/>
      <c r="E426" s="157"/>
      <c r="F426" s="157"/>
    </row>
    <row r="427" spans="2:6" ht="15.75" customHeight="1" x14ac:dyDescent="0.2">
      <c r="B427" s="157"/>
      <c r="C427" s="157"/>
      <c r="D427" s="157"/>
      <c r="E427" s="157"/>
      <c r="F427" s="157"/>
    </row>
    <row r="428" spans="2:6" ht="15.75" customHeight="1" x14ac:dyDescent="0.2">
      <c r="B428" s="157"/>
      <c r="C428" s="157"/>
      <c r="D428" s="157"/>
      <c r="E428" s="157"/>
      <c r="F428" s="157"/>
    </row>
    <row r="429" spans="2:6" ht="15.75" customHeight="1" x14ac:dyDescent="0.2">
      <c r="B429" s="157"/>
      <c r="C429" s="157"/>
      <c r="D429" s="157"/>
      <c r="E429" s="157"/>
      <c r="F429" s="157"/>
    </row>
    <row r="430" spans="2:6" ht="15.75" customHeight="1" x14ac:dyDescent="0.2">
      <c r="B430" s="157"/>
      <c r="C430" s="157"/>
      <c r="D430" s="157"/>
      <c r="E430" s="157"/>
      <c r="F430" s="157"/>
    </row>
    <row r="431" spans="2:6" ht="15.75" customHeight="1" x14ac:dyDescent="0.2">
      <c r="B431" s="157"/>
      <c r="C431" s="157"/>
      <c r="D431" s="157"/>
      <c r="E431" s="157"/>
      <c r="F431" s="157"/>
    </row>
    <row r="432" spans="2:6" ht="15.75" customHeight="1" x14ac:dyDescent="0.2">
      <c r="B432" s="157"/>
      <c r="C432" s="157"/>
      <c r="D432" s="157"/>
      <c r="E432" s="157"/>
      <c r="F432" s="157"/>
    </row>
    <row r="433" spans="2:6" ht="15.75" customHeight="1" x14ac:dyDescent="0.2">
      <c r="B433" s="157"/>
      <c r="C433" s="157"/>
      <c r="D433" s="157"/>
      <c r="E433" s="157"/>
      <c r="F433" s="157"/>
    </row>
    <row r="434" spans="2:6" ht="15.75" customHeight="1" x14ac:dyDescent="0.2">
      <c r="B434" s="157"/>
      <c r="C434" s="157"/>
      <c r="D434" s="157"/>
      <c r="E434" s="157"/>
      <c r="F434" s="157"/>
    </row>
    <row r="435" spans="2:6" ht="15.75" customHeight="1" x14ac:dyDescent="0.2">
      <c r="B435" s="157"/>
      <c r="C435" s="157"/>
      <c r="D435" s="157"/>
      <c r="E435" s="157"/>
      <c r="F435" s="157"/>
    </row>
    <row r="436" spans="2:6" ht="15.75" customHeight="1" x14ac:dyDescent="0.2">
      <c r="B436" s="157"/>
      <c r="C436" s="157"/>
      <c r="D436" s="157"/>
      <c r="E436" s="157"/>
      <c r="F436" s="157"/>
    </row>
    <row r="437" spans="2:6" ht="15.75" customHeight="1" x14ac:dyDescent="0.2">
      <c r="B437" s="157"/>
      <c r="C437" s="157"/>
      <c r="D437" s="157"/>
      <c r="E437" s="157"/>
      <c r="F437" s="157"/>
    </row>
    <row r="438" spans="2:6" ht="15.75" customHeight="1" x14ac:dyDescent="0.2">
      <c r="B438" s="157"/>
      <c r="C438" s="157"/>
      <c r="D438" s="157"/>
      <c r="E438" s="157"/>
      <c r="F438" s="157"/>
    </row>
    <row r="439" spans="2:6" ht="15.75" customHeight="1" x14ac:dyDescent="0.2">
      <c r="B439" s="157"/>
      <c r="C439" s="157"/>
      <c r="D439" s="157"/>
      <c r="E439" s="157"/>
      <c r="F439" s="157"/>
    </row>
    <row r="440" spans="2:6" ht="15.75" customHeight="1" x14ac:dyDescent="0.2">
      <c r="B440" s="157"/>
      <c r="C440" s="157"/>
      <c r="D440" s="157"/>
      <c r="E440" s="157"/>
      <c r="F440" s="157"/>
    </row>
    <row r="441" spans="2:6" ht="15.75" customHeight="1" x14ac:dyDescent="0.2">
      <c r="B441" s="157"/>
      <c r="C441" s="157"/>
      <c r="D441" s="157"/>
      <c r="E441" s="157"/>
      <c r="F441" s="157"/>
    </row>
    <row r="442" spans="2:6" ht="15.75" customHeight="1" x14ac:dyDescent="0.2">
      <c r="B442" s="157"/>
      <c r="C442" s="157"/>
      <c r="D442" s="157"/>
      <c r="E442" s="157"/>
      <c r="F442" s="157"/>
    </row>
    <row r="443" spans="2:6" ht="15.75" customHeight="1" x14ac:dyDescent="0.2">
      <c r="B443" s="157"/>
      <c r="C443" s="157"/>
      <c r="D443" s="157"/>
      <c r="E443" s="157"/>
      <c r="F443" s="157"/>
    </row>
    <row r="444" spans="2:6" ht="15.75" customHeight="1" x14ac:dyDescent="0.2">
      <c r="B444" s="157"/>
      <c r="C444" s="157"/>
      <c r="D444" s="157"/>
      <c r="E444" s="157"/>
      <c r="F444" s="157"/>
    </row>
    <row r="445" spans="2:6" ht="15.75" customHeight="1" x14ac:dyDescent="0.2">
      <c r="B445" s="157"/>
      <c r="C445" s="157"/>
      <c r="D445" s="157"/>
      <c r="E445" s="157"/>
      <c r="F445" s="157"/>
    </row>
    <row r="446" spans="2:6" ht="15.75" customHeight="1" x14ac:dyDescent="0.2">
      <c r="B446" s="157"/>
      <c r="C446" s="157"/>
      <c r="D446" s="157"/>
      <c r="E446" s="157"/>
      <c r="F446" s="157"/>
    </row>
    <row r="447" spans="2:6" ht="15.75" customHeight="1" x14ac:dyDescent="0.2">
      <c r="B447" s="157"/>
      <c r="C447" s="157"/>
      <c r="D447" s="157"/>
      <c r="E447" s="157"/>
      <c r="F447" s="157"/>
    </row>
    <row r="448" spans="2:6" ht="15.75" customHeight="1" x14ac:dyDescent="0.2">
      <c r="B448" s="157"/>
      <c r="C448" s="157"/>
      <c r="D448" s="157"/>
      <c r="E448" s="157"/>
      <c r="F448" s="157"/>
    </row>
    <row r="449" spans="2:6" ht="15.75" customHeight="1" x14ac:dyDescent="0.2">
      <c r="B449" s="157"/>
      <c r="C449" s="157"/>
      <c r="D449" s="157"/>
      <c r="E449" s="157"/>
      <c r="F449" s="157"/>
    </row>
    <row r="450" spans="2:6" ht="15.75" customHeight="1" x14ac:dyDescent="0.2">
      <c r="B450" s="157"/>
      <c r="C450" s="157"/>
      <c r="D450" s="157"/>
      <c r="E450" s="157"/>
      <c r="F450" s="157"/>
    </row>
    <row r="451" spans="2:6" ht="15.75" customHeight="1" x14ac:dyDescent="0.2">
      <c r="B451" s="157"/>
      <c r="C451" s="157"/>
      <c r="D451" s="157"/>
      <c r="E451" s="157"/>
      <c r="F451" s="157"/>
    </row>
    <row r="452" spans="2:6" ht="15.75" customHeight="1" x14ac:dyDescent="0.2">
      <c r="B452" s="157"/>
      <c r="C452" s="157"/>
      <c r="D452" s="157"/>
      <c r="E452" s="157"/>
      <c r="F452" s="157"/>
    </row>
    <row r="453" spans="2:6" ht="15.75" customHeight="1" x14ac:dyDescent="0.2">
      <c r="B453" s="157"/>
      <c r="C453" s="157"/>
      <c r="D453" s="157"/>
      <c r="E453" s="157"/>
      <c r="F453" s="157"/>
    </row>
    <row r="454" spans="2:6" ht="15.75" customHeight="1" x14ac:dyDescent="0.2">
      <c r="B454" s="157"/>
      <c r="C454" s="157"/>
      <c r="D454" s="157"/>
      <c r="E454" s="157"/>
      <c r="F454" s="157"/>
    </row>
    <row r="455" spans="2:6" ht="15.75" customHeight="1" x14ac:dyDescent="0.2">
      <c r="B455" s="157"/>
      <c r="C455" s="157"/>
      <c r="D455" s="157"/>
      <c r="E455" s="157"/>
      <c r="F455" s="157"/>
    </row>
    <row r="456" spans="2:6" ht="15.75" customHeight="1" x14ac:dyDescent="0.2">
      <c r="B456" s="157"/>
      <c r="C456" s="157"/>
      <c r="D456" s="157"/>
      <c r="E456" s="157"/>
      <c r="F456" s="157"/>
    </row>
    <row r="457" spans="2:6" ht="15.75" customHeight="1" x14ac:dyDescent="0.2">
      <c r="B457" s="157"/>
      <c r="C457" s="157"/>
      <c r="D457" s="157"/>
      <c r="E457" s="157"/>
      <c r="F457" s="157"/>
    </row>
    <row r="458" spans="2:6" ht="15.75" customHeight="1" x14ac:dyDescent="0.2">
      <c r="B458" s="157"/>
      <c r="C458" s="157"/>
      <c r="D458" s="157"/>
      <c r="E458" s="157"/>
      <c r="F458" s="157"/>
    </row>
    <row r="459" spans="2:6" ht="15.75" customHeight="1" x14ac:dyDescent="0.2">
      <c r="B459" s="157"/>
      <c r="C459" s="157"/>
      <c r="D459" s="157"/>
      <c r="E459" s="157"/>
      <c r="F459" s="157"/>
    </row>
    <row r="460" spans="2:6" ht="15.75" customHeight="1" x14ac:dyDescent="0.2">
      <c r="B460" s="157"/>
      <c r="C460" s="157"/>
      <c r="D460" s="157"/>
      <c r="E460" s="157"/>
      <c r="F460" s="157"/>
    </row>
    <row r="461" spans="2:6" ht="15.75" customHeight="1" x14ac:dyDescent="0.2">
      <c r="B461" s="157"/>
      <c r="C461" s="157"/>
      <c r="D461" s="157"/>
      <c r="E461" s="157"/>
      <c r="F461" s="157"/>
    </row>
    <row r="462" spans="2:6" ht="15.75" customHeight="1" x14ac:dyDescent="0.2">
      <c r="B462" s="157"/>
      <c r="C462" s="157"/>
      <c r="D462" s="157"/>
      <c r="E462" s="157"/>
      <c r="F462" s="157"/>
    </row>
    <row r="463" spans="2:6" ht="15.75" customHeight="1" x14ac:dyDescent="0.2">
      <c r="B463" s="157"/>
      <c r="C463" s="157"/>
      <c r="D463" s="157"/>
      <c r="E463" s="157"/>
      <c r="F463" s="157"/>
    </row>
    <row r="464" spans="2:6" ht="15.75" customHeight="1" x14ac:dyDescent="0.2">
      <c r="B464" s="157"/>
      <c r="C464" s="157"/>
      <c r="D464" s="157"/>
      <c r="E464" s="157"/>
      <c r="F464" s="157"/>
    </row>
    <row r="465" spans="2:6" ht="15.75" customHeight="1" x14ac:dyDescent="0.2">
      <c r="B465" s="157"/>
      <c r="C465" s="157"/>
      <c r="D465" s="157"/>
      <c r="E465" s="157"/>
      <c r="F465" s="157"/>
    </row>
    <row r="466" spans="2:6" ht="15.75" customHeight="1" x14ac:dyDescent="0.2">
      <c r="B466" s="157"/>
      <c r="C466" s="157"/>
      <c r="D466" s="157"/>
      <c r="E466" s="157"/>
      <c r="F466" s="157"/>
    </row>
    <row r="467" spans="2:6" ht="15.75" customHeight="1" x14ac:dyDescent="0.2">
      <c r="B467" s="157"/>
      <c r="C467" s="157"/>
      <c r="D467" s="157"/>
      <c r="E467" s="157"/>
      <c r="F467" s="157"/>
    </row>
    <row r="468" spans="2:6" ht="15.75" customHeight="1" x14ac:dyDescent="0.2">
      <c r="B468" s="157"/>
      <c r="C468" s="157"/>
      <c r="D468" s="157"/>
      <c r="E468" s="157"/>
      <c r="F468" s="157"/>
    </row>
    <row r="469" spans="2:6" ht="15.75" customHeight="1" x14ac:dyDescent="0.2">
      <c r="B469" s="157"/>
      <c r="C469" s="157"/>
      <c r="D469" s="157"/>
      <c r="E469" s="157"/>
      <c r="F469" s="157"/>
    </row>
    <row r="470" spans="2:6" ht="15.75" customHeight="1" x14ac:dyDescent="0.2">
      <c r="B470" s="157"/>
      <c r="C470" s="157"/>
      <c r="D470" s="157"/>
      <c r="E470" s="157"/>
      <c r="F470" s="157"/>
    </row>
    <row r="471" spans="2:6" ht="15.75" customHeight="1" x14ac:dyDescent="0.2">
      <c r="B471" s="157"/>
      <c r="C471" s="157"/>
      <c r="D471" s="157"/>
      <c r="E471" s="157"/>
      <c r="F471" s="157"/>
    </row>
    <row r="472" spans="2:6" ht="15.75" customHeight="1" x14ac:dyDescent="0.2">
      <c r="B472" s="157"/>
      <c r="C472" s="157"/>
      <c r="D472" s="157"/>
      <c r="E472" s="157"/>
      <c r="F472" s="157"/>
    </row>
    <row r="473" spans="2:6" ht="15.75" customHeight="1" x14ac:dyDescent="0.2">
      <c r="B473" s="157"/>
      <c r="C473" s="157"/>
      <c r="D473" s="157"/>
      <c r="E473" s="157"/>
      <c r="F473" s="157"/>
    </row>
    <row r="474" spans="2:6" ht="15.75" customHeight="1" x14ac:dyDescent="0.2">
      <c r="B474" s="157"/>
      <c r="C474" s="157"/>
      <c r="D474" s="157"/>
      <c r="E474" s="157"/>
      <c r="F474" s="157"/>
    </row>
    <row r="475" spans="2:6" ht="15.75" customHeight="1" x14ac:dyDescent="0.2">
      <c r="B475" s="157"/>
      <c r="C475" s="157"/>
      <c r="D475" s="157"/>
      <c r="E475" s="157"/>
      <c r="F475" s="157"/>
    </row>
    <row r="476" spans="2:6" ht="15.75" customHeight="1" x14ac:dyDescent="0.2">
      <c r="B476" s="157"/>
      <c r="C476" s="157"/>
      <c r="D476" s="157"/>
      <c r="E476" s="157"/>
      <c r="F476" s="157"/>
    </row>
    <row r="477" spans="2:6" ht="15.75" customHeight="1" x14ac:dyDescent="0.2">
      <c r="B477" s="157"/>
      <c r="C477" s="157"/>
      <c r="D477" s="157"/>
      <c r="E477" s="157"/>
      <c r="F477" s="157"/>
    </row>
    <row r="478" spans="2:6" ht="15.75" customHeight="1" x14ac:dyDescent="0.2">
      <c r="B478" s="157"/>
      <c r="C478" s="157"/>
      <c r="D478" s="157"/>
      <c r="E478" s="157"/>
      <c r="F478" s="157"/>
    </row>
    <row r="479" spans="2:6" ht="15.75" customHeight="1" x14ac:dyDescent="0.2">
      <c r="B479" s="157"/>
      <c r="C479" s="157"/>
      <c r="D479" s="157"/>
      <c r="E479" s="157"/>
      <c r="F479" s="157"/>
    </row>
    <row r="480" spans="2:6" ht="15.75" customHeight="1" x14ac:dyDescent="0.2">
      <c r="B480" s="157"/>
      <c r="C480" s="157"/>
      <c r="D480" s="157"/>
      <c r="E480" s="157"/>
      <c r="F480" s="157"/>
    </row>
    <row r="481" spans="2:6" ht="15.75" customHeight="1" x14ac:dyDescent="0.2">
      <c r="B481" s="157"/>
      <c r="C481" s="157"/>
      <c r="D481" s="157"/>
      <c r="E481" s="157"/>
      <c r="F481" s="157"/>
    </row>
    <row r="482" spans="2:6" ht="15.75" customHeight="1" x14ac:dyDescent="0.2">
      <c r="B482" s="157"/>
      <c r="C482" s="157"/>
      <c r="D482" s="157"/>
      <c r="E482" s="157"/>
      <c r="F482" s="157"/>
    </row>
    <row r="483" spans="2:6" ht="15.75" customHeight="1" x14ac:dyDescent="0.2">
      <c r="B483" s="157"/>
      <c r="C483" s="157"/>
      <c r="D483" s="157"/>
      <c r="E483" s="157"/>
      <c r="F483" s="157"/>
    </row>
    <row r="484" spans="2:6" ht="15.75" customHeight="1" x14ac:dyDescent="0.2">
      <c r="B484" s="157"/>
      <c r="C484" s="157"/>
      <c r="D484" s="157"/>
      <c r="E484" s="157"/>
      <c r="F484" s="157"/>
    </row>
    <row r="485" spans="2:6" ht="15.75" customHeight="1" x14ac:dyDescent="0.2">
      <c r="B485" s="157"/>
      <c r="C485" s="157"/>
      <c r="D485" s="157"/>
      <c r="E485" s="157"/>
      <c r="F485" s="157"/>
    </row>
    <row r="486" spans="2:6" ht="15.75" customHeight="1" x14ac:dyDescent="0.2">
      <c r="B486" s="157"/>
      <c r="C486" s="157"/>
      <c r="D486" s="157"/>
      <c r="E486" s="157"/>
      <c r="F486" s="157"/>
    </row>
    <row r="487" spans="2:6" ht="15.75" customHeight="1" x14ac:dyDescent="0.2">
      <c r="B487" s="157"/>
      <c r="C487" s="157"/>
      <c r="D487" s="157"/>
      <c r="E487" s="157"/>
      <c r="F487" s="157"/>
    </row>
    <row r="488" spans="2:6" ht="15.75" customHeight="1" x14ac:dyDescent="0.2">
      <c r="B488" s="157"/>
      <c r="C488" s="157"/>
      <c r="D488" s="157"/>
      <c r="E488" s="157"/>
      <c r="F488" s="157"/>
    </row>
    <row r="489" spans="2:6" ht="15.75" customHeight="1" x14ac:dyDescent="0.2">
      <c r="B489" s="157"/>
      <c r="C489" s="157"/>
      <c r="D489" s="157"/>
      <c r="E489" s="157"/>
      <c r="F489" s="157"/>
    </row>
    <row r="490" spans="2:6" ht="15.75" customHeight="1" x14ac:dyDescent="0.2">
      <c r="B490" s="157"/>
      <c r="C490" s="157"/>
      <c r="D490" s="157"/>
      <c r="E490" s="157"/>
      <c r="F490" s="157"/>
    </row>
    <row r="491" spans="2:6" ht="15.75" customHeight="1" x14ac:dyDescent="0.2">
      <c r="B491" s="157"/>
      <c r="C491" s="157"/>
      <c r="D491" s="157"/>
      <c r="E491" s="157"/>
      <c r="F491" s="157"/>
    </row>
    <row r="492" spans="2:6" ht="15.75" customHeight="1" x14ac:dyDescent="0.2">
      <c r="B492" s="157"/>
      <c r="C492" s="157"/>
      <c r="D492" s="157"/>
      <c r="E492" s="157"/>
      <c r="F492" s="157"/>
    </row>
    <row r="493" spans="2:6" ht="15.75" customHeight="1" x14ac:dyDescent="0.2">
      <c r="B493" s="157"/>
      <c r="C493" s="157"/>
      <c r="D493" s="157"/>
      <c r="E493" s="157"/>
      <c r="F493" s="157"/>
    </row>
    <row r="494" spans="2:6" ht="15.75" customHeight="1" x14ac:dyDescent="0.2">
      <c r="B494" s="157"/>
      <c r="C494" s="157"/>
      <c r="D494" s="157"/>
      <c r="E494" s="157"/>
      <c r="F494" s="157"/>
    </row>
    <row r="495" spans="2:6" ht="15.75" customHeight="1" x14ac:dyDescent="0.2">
      <c r="B495" s="157"/>
      <c r="C495" s="157"/>
      <c r="D495" s="157"/>
      <c r="E495" s="157"/>
      <c r="F495" s="157"/>
    </row>
    <row r="496" spans="2:6" ht="15.75" customHeight="1" x14ac:dyDescent="0.2">
      <c r="B496" s="157"/>
      <c r="C496" s="157"/>
      <c r="D496" s="157"/>
      <c r="E496" s="157"/>
      <c r="F496" s="157"/>
    </row>
    <row r="497" spans="2:6" ht="15.75" customHeight="1" x14ac:dyDescent="0.2">
      <c r="B497" s="157"/>
      <c r="C497" s="157"/>
      <c r="D497" s="157"/>
      <c r="E497" s="157"/>
      <c r="F497" s="157"/>
    </row>
    <row r="498" spans="2:6" ht="15.75" customHeight="1" x14ac:dyDescent="0.2">
      <c r="B498" s="157"/>
      <c r="C498" s="157"/>
      <c r="D498" s="157"/>
      <c r="E498" s="157"/>
      <c r="F498" s="157"/>
    </row>
    <row r="499" spans="2:6" ht="15.75" customHeight="1" x14ac:dyDescent="0.2">
      <c r="B499" s="157"/>
      <c r="C499" s="157"/>
      <c r="D499" s="157"/>
      <c r="E499" s="157"/>
      <c r="F499" s="157"/>
    </row>
    <row r="500" spans="2:6" ht="15.75" customHeight="1" x14ac:dyDescent="0.2">
      <c r="B500" s="157"/>
      <c r="C500" s="157"/>
      <c r="D500" s="157"/>
      <c r="E500" s="157"/>
      <c r="F500" s="157"/>
    </row>
    <row r="501" spans="2:6" ht="15.75" customHeight="1" x14ac:dyDescent="0.2">
      <c r="B501" s="157"/>
      <c r="C501" s="157"/>
      <c r="D501" s="157"/>
      <c r="E501" s="157"/>
      <c r="F501" s="157"/>
    </row>
    <row r="502" spans="2:6" ht="15.75" customHeight="1" x14ac:dyDescent="0.2">
      <c r="B502" s="157"/>
      <c r="C502" s="157"/>
      <c r="D502" s="157"/>
      <c r="E502" s="157"/>
      <c r="F502" s="157"/>
    </row>
    <row r="503" spans="2:6" ht="15.75" customHeight="1" x14ac:dyDescent="0.2">
      <c r="B503" s="157"/>
      <c r="C503" s="157"/>
      <c r="D503" s="157"/>
      <c r="E503" s="157"/>
      <c r="F503" s="157"/>
    </row>
    <row r="504" spans="2:6" ht="15.75" customHeight="1" x14ac:dyDescent="0.2">
      <c r="B504" s="157"/>
      <c r="C504" s="157"/>
      <c r="D504" s="157"/>
      <c r="E504" s="157"/>
      <c r="F504" s="157"/>
    </row>
    <row r="505" spans="2:6" ht="15.75" customHeight="1" x14ac:dyDescent="0.2">
      <c r="B505" s="157"/>
      <c r="C505" s="157"/>
      <c r="D505" s="157"/>
      <c r="E505" s="157"/>
      <c r="F505" s="157"/>
    </row>
    <row r="506" spans="2:6" ht="15.75" customHeight="1" x14ac:dyDescent="0.2">
      <c r="B506" s="157"/>
      <c r="C506" s="157"/>
      <c r="D506" s="157"/>
      <c r="E506" s="157"/>
      <c r="F506" s="157"/>
    </row>
    <row r="507" spans="2:6" ht="15.75" customHeight="1" x14ac:dyDescent="0.2">
      <c r="B507" s="157"/>
      <c r="C507" s="157"/>
      <c r="D507" s="157"/>
      <c r="E507" s="157"/>
      <c r="F507" s="157"/>
    </row>
    <row r="508" spans="2:6" ht="15.75" customHeight="1" x14ac:dyDescent="0.2">
      <c r="B508" s="157"/>
      <c r="C508" s="157"/>
      <c r="D508" s="157"/>
      <c r="E508" s="157"/>
      <c r="F508" s="157"/>
    </row>
    <row r="509" spans="2:6" ht="15.75" customHeight="1" x14ac:dyDescent="0.2">
      <c r="B509" s="157"/>
      <c r="C509" s="157"/>
      <c r="D509" s="157"/>
      <c r="E509" s="157"/>
      <c r="F509" s="157"/>
    </row>
    <row r="510" spans="2:6" ht="15.75" customHeight="1" x14ac:dyDescent="0.2">
      <c r="B510" s="157"/>
      <c r="C510" s="157"/>
      <c r="D510" s="157"/>
      <c r="E510" s="157"/>
      <c r="F510" s="157"/>
    </row>
    <row r="511" spans="2:6" ht="15.75" customHeight="1" x14ac:dyDescent="0.2">
      <c r="B511" s="157"/>
      <c r="C511" s="157"/>
      <c r="D511" s="157"/>
      <c r="E511" s="157"/>
      <c r="F511" s="157"/>
    </row>
    <row r="512" spans="2:6" ht="15.75" customHeight="1" x14ac:dyDescent="0.2">
      <c r="B512" s="157"/>
      <c r="C512" s="157"/>
      <c r="D512" s="157"/>
      <c r="E512" s="157"/>
      <c r="F512" s="157"/>
    </row>
    <row r="513" spans="2:6" ht="15.75" customHeight="1" x14ac:dyDescent="0.2">
      <c r="B513" s="157"/>
      <c r="C513" s="157"/>
      <c r="D513" s="157"/>
      <c r="E513" s="157"/>
      <c r="F513" s="157"/>
    </row>
    <row r="514" spans="2:6" ht="15.75" customHeight="1" x14ac:dyDescent="0.2">
      <c r="B514" s="157"/>
      <c r="C514" s="157"/>
      <c r="D514" s="157"/>
      <c r="E514" s="157"/>
      <c r="F514" s="157"/>
    </row>
    <row r="515" spans="2:6" ht="15.75" customHeight="1" x14ac:dyDescent="0.2">
      <c r="B515" s="157"/>
      <c r="C515" s="157"/>
      <c r="D515" s="157"/>
      <c r="E515" s="157"/>
      <c r="F515" s="157"/>
    </row>
    <row r="516" spans="2:6" ht="15.75" customHeight="1" x14ac:dyDescent="0.2">
      <c r="B516" s="157"/>
      <c r="C516" s="157"/>
      <c r="D516" s="157"/>
      <c r="E516" s="157"/>
      <c r="F516" s="157"/>
    </row>
    <row r="517" spans="2:6" ht="15.75" customHeight="1" x14ac:dyDescent="0.2">
      <c r="B517" s="157"/>
      <c r="C517" s="157"/>
      <c r="D517" s="157"/>
      <c r="E517" s="157"/>
      <c r="F517" s="157"/>
    </row>
    <row r="518" spans="2:6" ht="15.75" customHeight="1" x14ac:dyDescent="0.2">
      <c r="B518" s="157"/>
      <c r="C518" s="157"/>
      <c r="D518" s="157"/>
      <c r="E518" s="157"/>
      <c r="F518" s="157"/>
    </row>
    <row r="519" spans="2:6" ht="15.75" customHeight="1" x14ac:dyDescent="0.2">
      <c r="B519" s="157"/>
      <c r="C519" s="157"/>
      <c r="D519" s="157"/>
      <c r="E519" s="157"/>
      <c r="F519" s="157"/>
    </row>
    <row r="520" spans="2:6" ht="15.75" customHeight="1" x14ac:dyDescent="0.2">
      <c r="B520" s="157"/>
      <c r="C520" s="157"/>
      <c r="D520" s="157"/>
      <c r="E520" s="157"/>
      <c r="F520" s="157"/>
    </row>
    <row r="521" spans="2:6" ht="15.75" customHeight="1" x14ac:dyDescent="0.2">
      <c r="B521" s="157"/>
      <c r="C521" s="157"/>
      <c r="D521" s="157"/>
      <c r="E521" s="157"/>
      <c r="F521" s="157"/>
    </row>
    <row r="522" spans="2:6" ht="15.75" customHeight="1" x14ac:dyDescent="0.2">
      <c r="B522" s="157"/>
      <c r="C522" s="157"/>
      <c r="D522" s="157"/>
      <c r="E522" s="157"/>
      <c r="F522" s="157"/>
    </row>
    <row r="523" spans="2:6" ht="15.75" customHeight="1" x14ac:dyDescent="0.2">
      <c r="B523" s="157"/>
      <c r="C523" s="157"/>
      <c r="D523" s="157"/>
      <c r="E523" s="157"/>
      <c r="F523" s="157"/>
    </row>
    <row r="524" spans="2:6" ht="15.75" customHeight="1" x14ac:dyDescent="0.2">
      <c r="B524" s="157"/>
      <c r="C524" s="157"/>
      <c r="D524" s="157"/>
      <c r="E524" s="157"/>
      <c r="F524" s="157"/>
    </row>
    <row r="525" spans="2:6" ht="15.75" customHeight="1" x14ac:dyDescent="0.2">
      <c r="B525" s="157"/>
      <c r="C525" s="157"/>
      <c r="D525" s="157"/>
      <c r="E525" s="157"/>
      <c r="F525" s="157"/>
    </row>
    <row r="526" spans="2:6" ht="15.75" customHeight="1" x14ac:dyDescent="0.2">
      <c r="B526" s="157"/>
      <c r="C526" s="157"/>
      <c r="D526" s="157"/>
      <c r="E526" s="157"/>
      <c r="F526" s="157"/>
    </row>
    <row r="527" spans="2:6" ht="15.75" customHeight="1" x14ac:dyDescent="0.2">
      <c r="B527" s="157"/>
      <c r="C527" s="157"/>
      <c r="D527" s="157"/>
      <c r="E527" s="157"/>
      <c r="F527" s="157"/>
    </row>
    <row r="528" spans="2:6" ht="15.75" customHeight="1" x14ac:dyDescent="0.2">
      <c r="B528" s="157"/>
      <c r="C528" s="157"/>
      <c r="D528" s="157"/>
      <c r="E528" s="157"/>
      <c r="F528" s="157"/>
    </row>
    <row r="529" spans="2:6" ht="15.75" customHeight="1" x14ac:dyDescent="0.2">
      <c r="B529" s="157"/>
      <c r="C529" s="157"/>
      <c r="D529" s="157"/>
      <c r="E529" s="157"/>
      <c r="F529" s="157"/>
    </row>
    <row r="530" spans="2:6" ht="15.75" customHeight="1" x14ac:dyDescent="0.2">
      <c r="B530" s="157"/>
      <c r="C530" s="157"/>
      <c r="D530" s="157"/>
      <c r="E530" s="157"/>
      <c r="F530" s="157"/>
    </row>
    <row r="531" spans="2:6" ht="15.75" customHeight="1" x14ac:dyDescent="0.2">
      <c r="B531" s="157"/>
      <c r="C531" s="157"/>
      <c r="D531" s="157"/>
      <c r="E531" s="157"/>
      <c r="F531" s="157"/>
    </row>
    <row r="532" spans="2:6" ht="15.75" customHeight="1" x14ac:dyDescent="0.2">
      <c r="B532" s="157"/>
      <c r="C532" s="157"/>
      <c r="D532" s="157"/>
      <c r="E532" s="157"/>
      <c r="F532" s="157"/>
    </row>
    <row r="533" spans="2:6" ht="15.75" customHeight="1" x14ac:dyDescent="0.2">
      <c r="B533" s="157"/>
      <c r="C533" s="157"/>
      <c r="D533" s="157"/>
      <c r="E533" s="157"/>
      <c r="F533" s="157"/>
    </row>
    <row r="534" spans="2:6" ht="15.75" customHeight="1" x14ac:dyDescent="0.2">
      <c r="B534" s="157"/>
      <c r="C534" s="157"/>
      <c r="D534" s="157"/>
      <c r="E534" s="157"/>
      <c r="F534" s="157"/>
    </row>
    <row r="535" spans="2:6" ht="15.75" customHeight="1" x14ac:dyDescent="0.2">
      <c r="B535" s="157"/>
      <c r="C535" s="157"/>
      <c r="D535" s="157"/>
      <c r="E535" s="157"/>
      <c r="F535" s="157"/>
    </row>
    <row r="536" spans="2:6" ht="15.75" customHeight="1" x14ac:dyDescent="0.2">
      <c r="B536" s="157"/>
      <c r="C536" s="157"/>
      <c r="D536" s="157"/>
      <c r="E536" s="157"/>
      <c r="F536" s="157"/>
    </row>
    <row r="537" spans="2:6" ht="15.75" customHeight="1" x14ac:dyDescent="0.2">
      <c r="B537" s="157"/>
      <c r="C537" s="157"/>
      <c r="D537" s="157"/>
      <c r="E537" s="157"/>
      <c r="F537" s="157"/>
    </row>
    <row r="538" spans="2:6" ht="15.75" customHeight="1" x14ac:dyDescent="0.2">
      <c r="B538" s="157"/>
      <c r="C538" s="157"/>
      <c r="D538" s="157"/>
      <c r="E538" s="157"/>
      <c r="F538" s="157"/>
    </row>
    <row r="539" spans="2:6" ht="15.75" customHeight="1" x14ac:dyDescent="0.2">
      <c r="B539" s="157"/>
      <c r="C539" s="157"/>
      <c r="D539" s="157"/>
      <c r="E539" s="157"/>
      <c r="F539" s="157"/>
    </row>
    <row r="540" spans="2:6" ht="15.75" customHeight="1" x14ac:dyDescent="0.2">
      <c r="B540" s="157"/>
      <c r="C540" s="157"/>
      <c r="D540" s="157"/>
      <c r="E540" s="157"/>
      <c r="F540" s="157"/>
    </row>
    <row r="541" spans="2:6" ht="15.75" customHeight="1" x14ac:dyDescent="0.2">
      <c r="B541" s="157"/>
      <c r="C541" s="157"/>
      <c r="D541" s="157"/>
      <c r="E541" s="157"/>
      <c r="F541" s="157"/>
    </row>
    <row r="542" spans="2:6" ht="15.75" customHeight="1" x14ac:dyDescent="0.2">
      <c r="B542" s="157"/>
      <c r="C542" s="157"/>
      <c r="D542" s="157"/>
      <c r="E542" s="157"/>
      <c r="F542" s="157"/>
    </row>
    <row r="543" spans="2:6" ht="15.75" customHeight="1" x14ac:dyDescent="0.2">
      <c r="B543" s="157"/>
      <c r="C543" s="157"/>
      <c r="D543" s="157"/>
      <c r="E543" s="157"/>
      <c r="F543" s="157"/>
    </row>
    <row r="544" spans="2:6" ht="15.75" customHeight="1" x14ac:dyDescent="0.2">
      <c r="B544" s="157"/>
      <c r="C544" s="157"/>
      <c r="D544" s="157"/>
      <c r="E544" s="157"/>
      <c r="F544" s="157"/>
    </row>
    <row r="545" spans="2:6" ht="15.75" customHeight="1" x14ac:dyDescent="0.2">
      <c r="B545" s="157"/>
      <c r="C545" s="157"/>
      <c r="D545" s="157"/>
      <c r="E545" s="157"/>
      <c r="F545" s="157"/>
    </row>
    <row r="546" spans="2:6" ht="15.75" customHeight="1" x14ac:dyDescent="0.2">
      <c r="B546" s="157"/>
      <c r="C546" s="157"/>
      <c r="D546" s="157"/>
      <c r="E546" s="157"/>
      <c r="F546" s="157"/>
    </row>
    <row r="547" spans="2:6" ht="15.75" customHeight="1" x14ac:dyDescent="0.2">
      <c r="B547" s="157"/>
      <c r="C547" s="157"/>
      <c r="D547" s="157"/>
      <c r="E547" s="157"/>
      <c r="F547" s="157"/>
    </row>
    <row r="548" spans="2:6" ht="15.75" customHeight="1" x14ac:dyDescent="0.2">
      <c r="B548" s="157"/>
      <c r="C548" s="157"/>
      <c r="D548" s="157"/>
      <c r="E548" s="157"/>
      <c r="F548" s="157"/>
    </row>
    <row r="549" spans="2:6" ht="15.75" customHeight="1" x14ac:dyDescent="0.2">
      <c r="B549" s="157"/>
      <c r="C549" s="157"/>
      <c r="D549" s="157"/>
      <c r="E549" s="157"/>
      <c r="F549" s="157"/>
    </row>
    <row r="550" spans="2:6" ht="15.75" customHeight="1" x14ac:dyDescent="0.2">
      <c r="B550" s="157"/>
      <c r="C550" s="157"/>
      <c r="D550" s="157"/>
      <c r="E550" s="157"/>
      <c r="F550" s="157"/>
    </row>
    <row r="551" spans="2:6" ht="15.75" customHeight="1" x14ac:dyDescent="0.2">
      <c r="B551" s="157"/>
      <c r="C551" s="157"/>
      <c r="D551" s="157"/>
      <c r="E551" s="157"/>
      <c r="F551" s="157"/>
    </row>
    <row r="552" spans="2:6" ht="15.75" customHeight="1" x14ac:dyDescent="0.2">
      <c r="B552" s="157"/>
      <c r="C552" s="157"/>
      <c r="D552" s="157"/>
      <c r="E552" s="157"/>
      <c r="F552" s="157"/>
    </row>
    <row r="553" spans="2:6" ht="15.75" customHeight="1" x14ac:dyDescent="0.2">
      <c r="B553" s="157"/>
      <c r="C553" s="157"/>
      <c r="D553" s="157"/>
      <c r="E553" s="157"/>
      <c r="F553" s="157"/>
    </row>
    <row r="554" spans="2:6" ht="15.75" customHeight="1" x14ac:dyDescent="0.2">
      <c r="B554" s="157"/>
      <c r="C554" s="157"/>
      <c r="D554" s="157"/>
      <c r="E554" s="157"/>
      <c r="F554" s="157"/>
    </row>
    <row r="555" spans="2:6" ht="15.75" customHeight="1" x14ac:dyDescent="0.2">
      <c r="B555" s="157"/>
      <c r="C555" s="157"/>
      <c r="D555" s="157"/>
      <c r="E555" s="157"/>
      <c r="F555" s="157"/>
    </row>
    <row r="556" spans="2:6" ht="15.75" customHeight="1" x14ac:dyDescent="0.2">
      <c r="B556" s="157"/>
      <c r="C556" s="157"/>
      <c r="D556" s="157"/>
      <c r="E556" s="157"/>
      <c r="F556" s="157"/>
    </row>
    <row r="557" spans="2:6" ht="15.75" customHeight="1" x14ac:dyDescent="0.2">
      <c r="B557" s="157"/>
      <c r="C557" s="157"/>
      <c r="D557" s="157"/>
      <c r="E557" s="157"/>
      <c r="F557" s="157"/>
    </row>
    <row r="558" spans="2:6" ht="15.75" customHeight="1" x14ac:dyDescent="0.2">
      <c r="B558" s="157"/>
      <c r="C558" s="157"/>
      <c r="D558" s="157"/>
      <c r="E558" s="157"/>
      <c r="F558" s="157"/>
    </row>
    <row r="559" spans="2:6" ht="15.75" customHeight="1" x14ac:dyDescent="0.2">
      <c r="B559" s="157"/>
      <c r="C559" s="157"/>
      <c r="D559" s="157"/>
      <c r="E559" s="157"/>
      <c r="F559" s="157"/>
    </row>
    <row r="560" spans="2:6" ht="15.75" customHeight="1" x14ac:dyDescent="0.2">
      <c r="B560" s="157"/>
      <c r="C560" s="157"/>
      <c r="D560" s="157"/>
      <c r="E560" s="157"/>
      <c r="F560" s="157"/>
    </row>
    <row r="561" spans="2:6" ht="15.75" customHeight="1" x14ac:dyDescent="0.2">
      <c r="B561" s="157"/>
      <c r="C561" s="157"/>
      <c r="D561" s="157"/>
      <c r="E561" s="157"/>
      <c r="F561" s="157"/>
    </row>
    <row r="562" spans="2:6" ht="15.75" customHeight="1" x14ac:dyDescent="0.2">
      <c r="B562" s="157"/>
      <c r="C562" s="157"/>
      <c r="D562" s="157"/>
      <c r="E562" s="157"/>
      <c r="F562" s="157"/>
    </row>
    <row r="563" spans="2:6" ht="15.75" customHeight="1" x14ac:dyDescent="0.2">
      <c r="B563" s="157"/>
      <c r="C563" s="157"/>
      <c r="D563" s="157"/>
      <c r="E563" s="157"/>
      <c r="F563" s="157"/>
    </row>
    <row r="564" spans="2:6" ht="15.75" customHeight="1" x14ac:dyDescent="0.2">
      <c r="B564" s="157"/>
      <c r="C564" s="157"/>
      <c r="D564" s="157"/>
      <c r="E564" s="157"/>
      <c r="F564" s="157"/>
    </row>
    <row r="565" spans="2:6" ht="15.75" customHeight="1" x14ac:dyDescent="0.2">
      <c r="B565" s="157"/>
      <c r="C565" s="157"/>
      <c r="D565" s="157"/>
      <c r="E565" s="157"/>
      <c r="F565" s="157"/>
    </row>
    <row r="566" spans="2:6" ht="15.75" customHeight="1" x14ac:dyDescent="0.2">
      <c r="B566" s="157"/>
      <c r="C566" s="157"/>
      <c r="D566" s="157"/>
      <c r="E566" s="157"/>
      <c r="F566" s="157"/>
    </row>
    <row r="567" spans="2:6" ht="15.75" customHeight="1" x14ac:dyDescent="0.2">
      <c r="B567" s="157"/>
      <c r="C567" s="157"/>
      <c r="D567" s="157"/>
      <c r="E567" s="157"/>
      <c r="F567" s="157"/>
    </row>
    <row r="568" spans="2:6" ht="15.75" customHeight="1" x14ac:dyDescent="0.2">
      <c r="B568" s="157"/>
      <c r="C568" s="157"/>
      <c r="D568" s="157"/>
      <c r="E568" s="157"/>
      <c r="F568" s="157"/>
    </row>
    <row r="569" spans="2:6" ht="15.75" customHeight="1" x14ac:dyDescent="0.2">
      <c r="B569" s="157"/>
      <c r="C569" s="157"/>
      <c r="D569" s="157"/>
      <c r="E569" s="157"/>
      <c r="F569" s="157"/>
    </row>
    <row r="570" spans="2:6" ht="15.75" customHeight="1" x14ac:dyDescent="0.2">
      <c r="B570" s="157"/>
      <c r="C570" s="157"/>
      <c r="D570" s="157"/>
      <c r="E570" s="157"/>
      <c r="F570" s="157"/>
    </row>
    <row r="571" spans="2:6" ht="15.75" customHeight="1" x14ac:dyDescent="0.2">
      <c r="B571" s="157"/>
      <c r="C571" s="157"/>
      <c r="D571" s="157"/>
      <c r="E571" s="157"/>
      <c r="F571" s="157"/>
    </row>
    <row r="572" spans="2:6" ht="15.75" customHeight="1" x14ac:dyDescent="0.2">
      <c r="B572" s="157"/>
      <c r="C572" s="157"/>
      <c r="D572" s="157"/>
      <c r="E572" s="157"/>
      <c r="F572" s="157"/>
    </row>
    <row r="573" spans="2:6" ht="15.75" customHeight="1" x14ac:dyDescent="0.2">
      <c r="B573" s="157"/>
      <c r="C573" s="157"/>
      <c r="D573" s="157"/>
      <c r="E573" s="157"/>
      <c r="F573" s="157"/>
    </row>
    <row r="574" spans="2:6" ht="15.75" customHeight="1" x14ac:dyDescent="0.2">
      <c r="B574" s="157"/>
      <c r="C574" s="157"/>
      <c r="D574" s="157"/>
      <c r="E574" s="157"/>
      <c r="F574" s="157"/>
    </row>
    <row r="575" spans="2:6" ht="15.75" customHeight="1" x14ac:dyDescent="0.2">
      <c r="B575" s="157"/>
      <c r="C575" s="157"/>
      <c r="D575" s="157"/>
      <c r="E575" s="157"/>
      <c r="F575" s="157"/>
    </row>
    <row r="576" spans="2:6" ht="15.75" customHeight="1" x14ac:dyDescent="0.2">
      <c r="B576" s="157"/>
      <c r="C576" s="157"/>
      <c r="D576" s="157"/>
      <c r="E576" s="157"/>
      <c r="F576" s="157"/>
    </row>
    <row r="577" spans="2:6" ht="15.75" customHeight="1" x14ac:dyDescent="0.2">
      <c r="B577" s="157"/>
      <c r="C577" s="157"/>
      <c r="D577" s="157"/>
      <c r="E577" s="157"/>
      <c r="F577" s="157"/>
    </row>
    <row r="578" spans="2:6" ht="15.75" customHeight="1" x14ac:dyDescent="0.2">
      <c r="B578" s="157"/>
      <c r="C578" s="157"/>
      <c r="D578" s="157"/>
      <c r="E578" s="157"/>
      <c r="F578" s="157"/>
    </row>
    <row r="579" spans="2:6" ht="15.75" customHeight="1" x14ac:dyDescent="0.2">
      <c r="B579" s="157"/>
      <c r="C579" s="157"/>
      <c r="D579" s="157"/>
      <c r="E579" s="157"/>
      <c r="F579" s="157"/>
    </row>
    <row r="580" spans="2:6" ht="15.75" customHeight="1" x14ac:dyDescent="0.2">
      <c r="B580" s="157"/>
      <c r="C580" s="157"/>
      <c r="D580" s="157"/>
      <c r="E580" s="157"/>
      <c r="F580" s="157"/>
    </row>
    <row r="581" spans="2:6" ht="15.75" customHeight="1" x14ac:dyDescent="0.2">
      <c r="B581" s="157"/>
      <c r="C581" s="157"/>
      <c r="D581" s="157"/>
      <c r="E581" s="157"/>
      <c r="F581" s="157"/>
    </row>
    <row r="582" spans="2:6" ht="15.75" customHeight="1" x14ac:dyDescent="0.2">
      <c r="B582" s="157"/>
      <c r="C582" s="157"/>
      <c r="D582" s="157"/>
      <c r="E582" s="157"/>
      <c r="F582" s="157"/>
    </row>
    <row r="583" spans="2:6" ht="15.75" customHeight="1" x14ac:dyDescent="0.2">
      <c r="B583" s="157"/>
      <c r="C583" s="157"/>
      <c r="D583" s="157"/>
      <c r="E583" s="157"/>
      <c r="F583" s="157"/>
    </row>
    <row r="584" spans="2:6" ht="15.75" customHeight="1" x14ac:dyDescent="0.2">
      <c r="B584" s="157"/>
      <c r="C584" s="157"/>
      <c r="D584" s="157"/>
      <c r="E584" s="157"/>
      <c r="F584" s="157"/>
    </row>
    <row r="585" spans="2:6" ht="15.75" customHeight="1" x14ac:dyDescent="0.2">
      <c r="B585" s="157"/>
      <c r="C585" s="157"/>
      <c r="D585" s="157"/>
      <c r="E585" s="157"/>
      <c r="F585" s="157"/>
    </row>
    <row r="586" spans="2:6" ht="15.75" customHeight="1" x14ac:dyDescent="0.2">
      <c r="B586" s="157"/>
      <c r="C586" s="157"/>
      <c r="D586" s="157"/>
      <c r="E586" s="157"/>
      <c r="F586" s="157"/>
    </row>
    <row r="587" spans="2:6" ht="15.75" customHeight="1" x14ac:dyDescent="0.2">
      <c r="B587" s="157"/>
      <c r="C587" s="157"/>
      <c r="D587" s="157"/>
      <c r="E587" s="157"/>
      <c r="F587" s="157"/>
    </row>
    <row r="588" spans="2:6" ht="15.75" customHeight="1" x14ac:dyDescent="0.2">
      <c r="B588" s="157"/>
      <c r="C588" s="157"/>
      <c r="D588" s="157"/>
      <c r="E588" s="157"/>
      <c r="F588" s="157"/>
    </row>
    <row r="589" spans="2:6" ht="15.75" customHeight="1" x14ac:dyDescent="0.2">
      <c r="B589" s="157"/>
      <c r="C589" s="157"/>
      <c r="D589" s="157"/>
      <c r="E589" s="157"/>
      <c r="F589" s="157"/>
    </row>
    <row r="590" spans="2:6" ht="15.75" customHeight="1" x14ac:dyDescent="0.2">
      <c r="B590" s="157"/>
      <c r="C590" s="157"/>
      <c r="D590" s="157"/>
      <c r="E590" s="157"/>
      <c r="F590" s="157"/>
    </row>
    <row r="591" spans="2:6" ht="15.75" customHeight="1" x14ac:dyDescent="0.2">
      <c r="B591" s="157"/>
      <c r="C591" s="157"/>
      <c r="D591" s="157"/>
      <c r="E591" s="157"/>
      <c r="F591" s="157"/>
    </row>
    <row r="592" spans="2:6" ht="15.75" customHeight="1" x14ac:dyDescent="0.2">
      <c r="B592" s="157"/>
      <c r="C592" s="157"/>
      <c r="D592" s="157"/>
      <c r="E592" s="157"/>
      <c r="F592" s="157"/>
    </row>
    <row r="593" spans="2:6" ht="15.75" customHeight="1" x14ac:dyDescent="0.2">
      <c r="B593" s="157"/>
      <c r="C593" s="157"/>
      <c r="D593" s="157"/>
      <c r="E593" s="157"/>
      <c r="F593" s="157"/>
    </row>
    <row r="594" spans="2:6" ht="15.75" customHeight="1" x14ac:dyDescent="0.2">
      <c r="B594" s="157"/>
      <c r="C594" s="157"/>
      <c r="D594" s="157"/>
      <c r="E594" s="157"/>
      <c r="F594" s="157"/>
    </row>
    <row r="595" spans="2:6" ht="15.75" customHeight="1" x14ac:dyDescent="0.2">
      <c r="B595" s="157"/>
      <c r="C595" s="157"/>
      <c r="D595" s="157"/>
      <c r="E595" s="157"/>
      <c r="F595" s="157"/>
    </row>
    <row r="596" spans="2:6" ht="15.75" customHeight="1" x14ac:dyDescent="0.2">
      <c r="B596" s="157"/>
      <c r="C596" s="157"/>
      <c r="D596" s="157"/>
      <c r="E596" s="157"/>
      <c r="F596" s="157"/>
    </row>
    <row r="597" spans="2:6" ht="15.75" customHeight="1" x14ac:dyDescent="0.2">
      <c r="B597" s="157"/>
      <c r="C597" s="157"/>
      <c r="D597" s="157"/>
      <c r="E597" s="157"/>
      <c r="F597" s="157"/>
    </row>
    <row r="598" spans="2:6" ht="15.75" customHeight="1" x14ac:dyDescent="0.2">
      <c r="B598" s="157"/>
      <c r="C598" s="157"/>
      <c r="D598" s="157"/>
      <c r="E598" s="157"/>
      <c r="F598" s="157"/>
    </row>
    <row r="599" spans="2:6" ht="15.75" customHeight="1" x14ac:dyDescent="0.2">
      <c r="B599" s="157"/>
      <c r="C599" s="157"/>
      <c r="D599" s="157"/>
      <c r="E599" s="157"/>
      <c r="F599" s="157"/>
    </row>
    <row r="600" spans="2:6" ht="15.75" customHeight="1" x14ac:dyDescent="0.2">
      <c r="B600" s="157"/>
      <c r="C600" s="157"/>
      <c r="D600" s="157"/>
      <c r="E600" s="157"/>
      <c r="F600" s="157"/>
    </row>
    <row r="601" spans="2:6" ht="15.75" customHeight="1" x14ac:dyDescent="0.2">
      <c r="B601" s="157"/>
      <c r="C601" s="157"/>
      <c r="D601" s="157"/>
      <c r="E601" s="157"/>
      <c r="F601" s="157"/>
    </row>
    <row r="602" spans="2:6" ht="15.75" customHeight="1" x14ac:dyDescent="0.2">
      <c r="B602" s="157"/>
      <c r="C602" s="157"/>
      <c r="D602" s="157"/>
      <c r="E602" s="157"/>
      <c r="F602" s="157"/>
    </row>
    <row r="603" spans="2:6" ht="15.75" customHeight="1" x14ac:dyDescent="0.2">
      <c r="B603" s="157"/>
      <c r="C603" s="157"/>
      <c r="D603" s="157"/>
      <c r="E603" s="157"/>
      <c r="F603" s="157"/>
    </row>
    <row r="604" spans="2:6" ht="15.75" customHeight="1" x14ac:dyDescent="0.2">
      <c r="B604" s="157"/>
      <c r="C604" s="157"/>
      <c r="D604" s="157"/>
      <c r="E604" s="157"/>
      <c r="F604" s="157"/>
    </row>
    <row r="605" spans="2:6" ht="15.75" customHeight="1" x14ac:dyDescent="0.2">
      <c r="B605" s="157"/>
      <c r="C605" s="157"/>
      <c r="D605" s="157"/>
      <c r="E605" s="157"/>
      <c r="F605" s="157"/>
    </row>
    <row r="606" spans="2:6" ht="15.75" customHeight="1" x14ac:dyDescent="0.2">
      <c r="B606" s="157"/>
      <c r="C606" s="157"/>
      <c r="D606" s="157"/>
      <c r="E606" s="157"/>
      <c r="F606" s="157"/>
    </row>
    <row r="607" spans="2:6" ht="15.75" customHeight="1" x14ac:dyDescent="0.2">
      <c r="B607" s="157"/>
      <c r="C607" s="157"/>
      <c r="D607" s="157"/>
      <c r="E607" s="157"/>
      <c r="F607" s="157"/>
    </row>
    <row r="608" spans="2:6" ht="15.75" customHeight="1" x14ac:dyDescent="0.2">
      <c r="B608" s="157"/>
      <c r="C608" s="157"/>
      <c r="D608" s="157"/>
      <c r="E608" s="157"/>
      <c r="F608" s="157"/>
    </row>
    <row r="609" spans="2:6" ht="15.75" customHeight="1" x14ac:dyDescent="0.2">
      <c r="B609" s="157"/>
      <c r="C609" s="157"/>
      <c r="D609" s="157"/>
      <c r="E609" s="157"/>
      <c r="F609" s="157"/>
    </row>
    <row r="610" spans="2:6" ht="15.75" customHeight="1" x14ac:dyDescent="0.2">
      <c r="B610" s="157"/>
      <c r="C610" s="157"/>
      <c r="D610" s="157"/>
      <c r="E610" s="157"/>
      <c r="F610" s="157"/>
    </row>
    <row r="611" spans="2:6" ht="15.75" customHeight="1" x14ac:dyDescent="0.2">
      <c r="B611" s="157"/>
      <c r="C611" s="157"/>
      <c r="D611" s="157"/>
      <c r="E611" s="157"/>
      <c r="F611" s="157"/>
    </row>
    <row r="612" spans="2:6" ht="15.75" customHeight="1" x14ac:dyDescent="0.2">
      <c r="B612" s="157"/>
      <c r="C612" s="157"/>
      <c r="D612" s="157"/>
      <c r="E612" s="157"/>
      <c r="F612" s="157"/>
    </row>
    <row r="613" spans="2:6" ht="15.75" customHeight="1" x14ac:dyDescent="0.2">
      <c r="B613" s="157"/>
      <c r="C613" s="157"/>
      <c r="D613" s="157"/>
      <c r="E613" s="157"/>
      <c r="F613" s="157"/>
    </row>
    <row r="614" spans="2:6" ht="15.75" customHeight="1" x14ac:dyDescent="0.2">
      <c r="B614" s="157"/>
      <c r="C614" s="157"/>
      <c r="D614" s="157"/>
      <c r="E614" s="157"/>
      <c r="F614" s="157"/>
    </row>
    <row r="615" spans="2:6" ht="15.75" customHeight="1" x14ac:dyDescent="0.2">
      <c r="B615" s="157"/>
      <c r="C615" s="157"/>
      <c r="D615" s="157"/>
      <c r="E615" s="157"/>
      <c r="F615" s="157"/>
    </row>
    <row r="616" spans="2:6" ht="15.75" customHeight="1" x14ac:dyDescent="0.2">
      <c r="B616" s="157"/>
      <c r="C616" s="157"/>
      <c r="D616" s="157"/>
      <c r="E616" s="157"/>
      <c r="F616" s="157"/>
    </row>
    <row r="617" spans="2:6" ht="15.75" customHeight="1" x14ac:dyDescent="0.2">
      <c r="B617" s="157"/>
      <c r="C617" s="157"/>
      <c r="D617" s="157"/>
      <c r="E617" s="157"/>
      <c r="F617" s="157"/>
    </row>
    <row r="618" spans="2:6" ht="15.75" customHeight="1" x14ac:dyDescent="0.2">
      <c r="B618" s="157"/>
      <c r="C618" s="157"/>
      <c r="D618" s="157"/>
      <c r="E618" s="157"/>
      <c r="F618" s="157"/>
    </row>
    <row r="619" spans="2:6" ht="15.75" customHeight="1" x14ac:dyDescent="0.2">
      <c r="B619" s="157"/>
      <c r="C619" s="157"/>
      <c r="D619" s="157"/>
      <c r="E619" s="157"/>
      <c r="F619" s="157"/>
    </row>
    <row r="620" spans="2:6" ht="15.75" customHeight="1" x14ac:dyDescent="0.2">
      <c r="B620" s="157"/>
      <c r="C620" s="157"/>
      <c r="D620" s="157"/>
      <c r="E620" s="157"/>
      <c r="F620" s="157"/>
    </row>
    <row r="621" spans="2:6" ht="15.75" customHeight="1" x14ac:dyDescent="0.2">
      <c r="B621" s="157"/>
      <c r="C621" s="157"/>
      <c r="D621" s="157"/>
      <c r="E621" s="157"/>
      <c r="F621" s="157"/>
    </row>
    <row r="622" spans="2:6" ht="15.75" customHeight="1" x14ac:dyDescent="0.2">
      <c r="B622" s="157"/>
      <c r="C622" s="157"/>
      <c r="D622" s="157"/>
      <c r="E622" s="157"/>
      <c r="F622" s="157"/>
    </row>
    <row r="623" spans="2:6" ht="15.75" customHeight="1" x14ac:dyDescent="0.2">
      <c r="B623" s="157"/>
      <c r="C623" s="157"/>
      <c r="D623" s="157"/>
      <c r="E623" s="157"/>
      <c r="F623" s="157"/>
    </row>
    <row r="624" spans="2:6" ht="15.75" customHeight="1" x14ac:dyDescent="0.2">
      <c r="B624" s="157"/>
      <c r="C624" s="157"/>
      <c r="D624" s="157"/>
      <c r="E624" s="157"/>
      <c r="F624" s="157"/>
    </row>
    <row r="625" spans="2:6" ht="15.75" customHeight="1" x14ac:dyDescent="0.2">
      <c r="B625" s="157"/>
      <c r="C625" s="157"/>
      <c r="D625" s="157"/>
      <c r="E625" s="157"/>
      <c r="F625" s="157"/>
    </row>
    <row r="626" spans="2:6" ht="15.75" customHeight="1" x14ac:dyDescent="0.2">
      <c r="B626" s="157"/>
      <c r="C626" s="157"/>
      <c r="D626" s="157"/>
      <c r="E626" s="157"/>
      <c r="F626" s="157"/>
    </row>
    <row r="627" spans="2:6" ht="15.75" customHeight="1" x14ac:dyDescent="0.2">
      <c r="B627" s="157"/>
      <c r="C627" s="157"/>
      <c r="D627" s="157"/>
      <c r="E627" s="157"/>
      <c r="F627" s="157"/>
    </row>
    <row r="628" spans="2:6" ht="15.75" customHeight="1" x14ac:dyDescent="0.2">
      <c r="B628" s="157"/>
      <c r="C628" s="157"/>
      <c r="D628" s="157"/>
      <c r="E628" s="157"/>
      <c r="F628" s="157"/>
    </row>
    <row r="629" spans="2:6" ht="15.75" customHeight="1" x14ac:dyDescent="0.2">
      <c r="B629" s="157"/>
      <c r="C629" s="157"/>
      <c r="D629" s="157"/>
      <c r="E629" s="157"/>
      <c r="F629" s="157"/>
    </row>
    <row r="630" spans="2:6" ht="15.75" customHeight="1" x14ac:dyDescent="0.2">
      <c r="B630" s="157"/>
      <c r="C630" s="157"/>
      <c r="D630" s="157"/>
      <c r="E630" s="157"/>
      <c r="F630" s="157"/>
    </row>
    <row r="631" spans="2:6" ht="15.75" customHeight="1" x14ac:dyDescent="0.2">
      <c r="B631" s="157"/>
      <c r="C631" s="157"/>
      <c r="D631" s="157"/>
      <c r="E631" s="157"/>
      <c r="F631" s="157"/>
    </row>
    <row r="632" spans="2:6" ht="15.75" customHeight="1" x14ac:dyDescent="0.2">
      <c r="B632" s="157"/>
      <c r="C632" s="157"/>
      <c r="D632" s="157"/>
      <c r="E632" s="157"/>
      <c r="F632" s="157"/>
    </row>
    <row r="633" spans="2:6" ht="15.75" customHeight="1" x14ac:dyDescent="0.2">
      <c r="B633" s="157"/>
      <c r="C633" s="157"/>
      <c r="D633" s="157"/>
      <c r="E633" s="157"/>
      <c r="F633" s="157"/>
    </row>
    <row r="634" spans="2:6" ht="15.75" customHeight="1" x14ac:dyDescent="0.2">
      <c r="B634" s="157"/>
      <c r="C634" s="157"/>
      <c r="D634" s="157"/>
      <c r="E634" s="157"/>
      <c r="F634" s="157"/>
    </row>
    <row r="635" spans="2:6" ht="15.75" customHeight="1" x14ac:dyDescent="0.2">
      <c r="B635" s="157"/>
      <c r="C635" s="157"/>
      <c r="D635" s="157"/>
      <c r="E635" s="157"/>
      <c r="F635" s="157"/>
    </row>
    <row r="636" spans="2:6" ht="15.75" customHeight="1" x14ac:dyDescent="0.2">
      <c r="B636" s="157"/>
      <c r="C636" s="157"/>
      <c r="D636" s="157"/>
      <c r="E636" s="157"/>
      <c r="F636" s="157"/>
    </row>
    <row r="637" spans="2:6" ht="15.75" customHeight="1" x14ac:dyDescent="0.2">
      <c r="B637" s="157"/>
      <c r="C637" s="157"/>
      <c r="D637" s="157"/>
      <c r="E637" s="157"/>
      <c r="F637" s="157"/>
    </row>
    <row r="638" spans="2:6" ht="15.75" customHeight="1" x14ac:dyDescent="0.2">
      <c r="B638" s="157"/>
      <c r="C638" s="157"/>
      <c r="D638" s="157"/>
      <c r="E638" s="157"/>
      <c r="F638" s="157"/>
    </row>
    <row r="639" spans="2:6" ht="15.75" customHeight="1" x14ac:dyDescent="0.2">
      <c r="B639" s="157"/>
      <c r="C639" s="157"/>
      <c r="D639" s="157"/>
      <c r="E639" s="157"/>
      <c r="F639" s="157"/>
    </row>
    <row r="640" spans="2:6" ht="15.75" customHeight="1" x14ac:dyDescent="0.2">
      <c r="B640" s="157"/>
      <c r="C640" s="157"/>
      <c r="D640" s="157"/>
      <c r="E640" s="157"/>
      <c r="F640" s="157"/>
    </row>
    <row r="641" spans="2:6" ht="15.75" customHeight="1" x14ac:dyDescent="0.2">
      <c r="B641" s="157"/>
      <c r="C641" s="157"/>
      <c r="D641" s="157"/>
      <c r="E641" s="157"/>
      <c r="F641" s="157"/>
    </row>
    <row r="642" spans="2:6" ht="15.75" customHeight="1" x14ac:dyDescent="0.2">
      <c r="B642" s="157"/>
      <c r="C642" s="157"/>
      <c r="D642" s="157"/>
      <c r="E642" s="157"/>
      <c r="F642" s="157"/>
    </row>
    <row r="643" spans="2:6" ht="15.75" customHeight="1" x14ac:dyDescent="0.2">
      <c r="B643" s="157"/>
      <c r="C643" s="157"/>
      <c r="D643" s="157"/>
      <c r="E643" s="157"/>
      <c r="F643" s="157"/>
    </row>
    <row r="644" spans="2:6" ht="15.75" customHeight="1" x14ac:dyDescent="0.2">
      <c r="B644" s="157"/>
      <c r="C644" s="157"/>
      <c r="D644" s="157"/>
      <c r="E644" s="157"/>
      <c r="F644" s="157"/>
    </row>
    <row r="645" spans="2:6" ht="15.75" customHeight="1" x14ac:dyDescent="0.2">
      <c r="B645" s="157"/>
      <c r="C645" s="157"/>
      <c r="D645" s="157"/>
      <c r="E645" s="157"/>
      <c r="F645" s="157"/>
    </row>
    <row r="646" spans="2:6" ht="15.75" customHeight="1" x14ac:dyDescent="0.2">
      <c r="B646" s="157"/>
      <c r="C646" s="157"/>
      <c r="D646" s="157"/>
      <c r="E646" s="157"/>
      <c r="F646" s="157"/>
    </row>
    <row r="647" spans="2:6" ht="15.75" customHeight="1" x14ac:dyDescent="0.2">
      <c r="B647" s="157"/>
      <c r="C647" s="157"/>
      <c r="D647" s="157"/>
      <c r="E647" s="157"/>
      <c r="F647" s="157"/>
    </row>
    <row r="648" spans="2:6" ht="15.75" customHeight="1" x14ac:dyDescent="0.2">
      <c r="B648" s="157"/>
      <c r="C648" s="157"/>
      <c r="D648" s="157"/>
      <c r="E648" s="157"/>
      <c r="F648" s="157"/>
    </row>
    <row r="649" spans="2:6" ht="15.75" customHeight="1" x14ac:dyDescent="0.2">
      <c r="B649" s="157"/>
      <c r="C649" s="157"/>
      <c r="D649" s="157"/>
      <c r="E649" s="157"/>
      <c r="F649" s="157"/>
    </row>
    <row r="650" spans="2:6" ht="15.75" customHeight="1" x14ac:dyDescent="0.2">
      <c r="B650" s="157"/>
      <c r="C650" s="157"/>
      <c r="D650" s="157"/>
      <c r="E650" s="157"/>
      <c r="F650" s="157"/>
    </row>
    <row r="651" spans="2:6" ht="15.75" customHeight="1" x14ac:dyDescent="0.2">
      <c r="B651" s="157"/>
      <c r="C651" s="157"/>
      <c r="D651" s="157"/>
      <c r="E651" s="157"/>
      <c r="F651" s="157"/>
    </row>
    <row r="652" spans="2:6" ht="15.75" customHeight="1" x14ac:dyDescent="0.2">
      <c r="B652" s="157"/>
      <c r="C652" s="157"/>
      <c r="D652" s="157"/>
      <c r="E652" s="157"/>
      <c r="F652" s="157"/>
    </row>
    <row r="653" spans="2:6" ht="15.75" customHeight="1" x14ac:dyDescent="0.2">
      <c r="B653" s="157"/>
      <c r="C653" s="157"/>
      <c r="D653" s="157"/>
      <c r="E653" s="157"/>
      <c r="F653" s="157"/>
    </row>
    <row r="654" spans="2:6" ht="15.75" customHeight="1" x14ac:dyDescent="0.2">
      <c r="B654" s="157"/>
      <c r="C654" s="157"/>
      <c r="D654" s="157"/>
      <c r="E654" s="157"/>
      <c r="F654" s="157"/>
    </row>
    <row r="655" spans="2:6" ht="15.75" customHeight="1" x14ac:dyDescent="0.2">
      <c r="B655" s="157"/>
      <c r="C655" s="157"/>
      <c r="D655" s="157"/>
      <c r="E655" s="157"/>
      <c r="F655" s="157"/>
    </row>
    <row r="656" spans="2:6" ht="15.75" customHeight="1" x14ac:dyDescent="0.2">
      <c r="B656" s="157"/>
      <c r="C656" s="157"/>
      <c r="D656" s="157"/>
      <c r="E656" s="157"/>
      <c r="F656" s="157"/>
    </row>
    <row r="657" spans="2:6" ht="15.75" customHeight="1" x14ac:dyDescent="0.2">
      <c r="B657" s="157"/>
      <c r="C657" s="157"/>
      <c r="D657" s="157"/>
      <c r="E657" s="157"/>
      <c r="F657" s="157"/>
    </row>
    <row r="658" spans="2:6" ht="15.75" customHeight="1" x14ac:dyDescent="0.2">
      <c r="B658" s="157"/>
      <c r="C658" s="157"/>
      <c r="D658" s="157"/>
      <c r="E658" s="157"/>
      <c r="F658" s="157"/>
    </row>
    <row r="659" spans="2:6" ht="15.75" customHeight="1" x14ac:dyDescent="0.2">
      <c r="B659" s="157"/>
      <c r="C659" s="157"/>
      <c r="D659" s="157"/>
      <c r="E659" s="157"/>
      <c r="F659" s="157"/>
    </row>
    <row r="660" spans="2:6" ht="15.75" customHeight="1" x14ac:dyDescent="0.2">
      <c r="B660" s="157"/>
      <c r="C660" s="157"/>
      <c r="D660" s="157"/>
      <c r="E660" s="157"/>
      <c r="F660" s="157"/>
    </row>
    <row r="661" spans="2:6" ht="15.75" customHeight="1" x14ac:dyDescent="0.2">
      <c r="B661" s="157"/>
      <c r="C661" s="157"/>
      <c r="D661" s="157"/>
      <c r="E661" s="157"/>
      <c r="F661" s="157"/>
    </row>
    <row r="662" spans="2:6" ht="15.75" customHeight="1" x14ac:dyDescent="0.2">
      <c r="B662" s="157"/>
      <c r="C662" s="157"/>
      <c r="D662" s="157"/>
      <c r="E662" s="157"/>
      <c r="F662" s="157"/>
    </row>
    <row r="663" spans="2:6" ht="15.75" customHeight="1" x14ac:dyDescent="0.2">
      <c r="B663" s="157"/>
      <c r="C663" s="157"/>
      <c r="D663" s="157"/>
      <c r="E663" s="157"/>
      <c r="F663" s="157"/>
    </row>
    <row r="664" spans="2:6" ht="15.75" customHeight="1" x14ac:dyDescent="0.2">
      <c r="B664" s="157"/>
      <c r="C664" s="157"/>
      <c r="D664" s="157"/>
      <c r="E664" s="157"/>
      <c r="F664" s="157"/>
    </row>
    <row r="665" spans="2:6" ht="15.75" customHeight="1" x14ac:dyDescent="0.2">
      <c r="B665" s="157"/>
      <c r="C665" s="157"/>
      <c r="D665" s="157"/>
      <c r="E665" s="157"/>
      <c r="F665" s="157"/>
    </row>
    <row r="666" spans="2:6" ht="15.75" customHeight="1" x14ac:dyDescent="0.2">
      <c r="B666" s="157"/>
      <c r="C666" s="157"/>
      <c r="D666" s="157"/>
      <c r="E666" s="157"/>
      <c r="F666" s="157"/>
    </row>
    <row r="667" spans="2:6" ht="15.75" customHeight="1" x14ac:dyDescent="0.2">
      <c r="B667" s="157"/>
      <c r="C667" s="157"/>
      <c r="D667" s="157"/>
      <c r="E667" s="157"/>
      <c r="F667" s="157"/>
    </row>
    <row r="668" spans="2:6" ht="15.75" customHeight="1" x14ac:dyDescent="0.2">
      <c r="B668" s="157"/>
      <c r="C668" s="157"/>
      <c r="D668" s="157"/>
      <c r="E668" s="157"/>
      <c r="F668" s="157"/>
    </row>
    <row r="669" spans="2:6" ht="15.75" customHeight="1" x14ac:dyDescent="0.2">
      <c r="B669" s="157"/>
      <c r="C669" s="157"/>
      <c r="D669" s="157"/>
      <c r="E669" s="157"/>
      <c r="F669" s="157"/>
    </row>
    <row r="670" spans="2:6" ht="15.75" customHeight="1" x14ac:dyDescent="0.2">
      <c r="B670" s="157"/>
      <c r="C670" s="157"/>
      <c r="D670" s="157"/>
      <c r="E670" s="157"/>
      <c r="F670" s="157"/>
    </row>
    <row r="671" spans="2:6" ht="15.75" customHeight="1" x14ac:dyDescent="0.2">
      <c r="B671" s="157"/>
      <c r="C671" s="157"/>
      <c r="D671" s="157"/>
      <c r="E671" s="157"/>
      <c r="F671" s="157"/>
    </row>
    <row r="672" spans="2:6" ht="15.75" customHeight="1" x14ac:dyDescent="0.2">
      <c r="B672" s="157"/>
      <c r="C672" s="157"/>
      <c r="D672" s="157"/>
      <c r="E672" s="157"/>
      <c r="F672" s="157"/>
    </row>
    <row r="673" spans="2:6" ht="15.75" customHeight="1" x14ac:dyDescent="0.2">
      <c r="B673" s="157"/>
      <c r="C673" s="157"/>
      <c r="D673" s="157"/>
      <c r="E673" s="157"/>
      <c r="F673" s="157"/>
    </row>
    <row r="674" spans="2:6" ht="15.75" customHeight="1" x14ac:dyDescent="0.2">
      <c r="B674" s="157"/>
      <c r="C674" s="157"/>
      <c r="D674" s="157"/>
      <c r="E674" s="157"/>
      <c r="F674" s="157"/>
    </row>
    <row r="675" spans="2:6" ht="15.75" customHeight="1" x14ac:dyDescent="0.2">
      <c r="B675" s="157"/>
      <c r="C675" s="157"/>
      <c r="D675" s="157"/>
      <c r="E675" s="157"/>
      <c r="F675" s="157"/>
    </row>
    <row r="676" spans="2:6" ht="15.75" customHeight="1" x14ac:dyDescent="0.2">
      <c r="B676" s="157"/>
      <c r="C676" s="157"/>
      <c r="D676" s="157"/>
      <c r="E676" s="157"/>
      <c r="F676" s="157"/>
    </row>
    <row r="677" spans="2:6" ht="15.75" customHeight="1" x14ac:dyDescent="0.2">
      <c r="B677" s="157"/>
      <c r="C677" s="157"/>
      <c r="D677" s="157"/>
      <c r="E677" s="157"/>
      <c r="F677" s="157"/>
    </row>
    <row r="678" spans="2:6" ht="15.75" customHeight="1" x14ac:dyDescent="0.2">
      <c r="B678" s="157"/>
      <c r="C678" s="157"/>
      <c r="D678" s="157"/>
      <c r="E678" s="157"/>
      <c r="F678" s="157"/>
    </row>
    <row r="679" spans="2:6" ht="15.75" customHeight="1" x14ac:dyDescent="0.2">
      <c r="B679" s="157"/>
      <c r="C679" s="157"/>
      <c r="D679" s="157"/>
      <c r="E679" s="157"/>
      <c r="F679" s="157"/>
    </row>
    <row r="680" spans="2:6" ht="15.75" customHeight="1" x14ac:dyDescent="0.2">
      <c r="B680" s="157"/>
      <c r="C680" s="157"/>
      <c r="D680" s="157"/>
      <c r="E680" s="157"/>
      <c r="F680" s="157"/>
    </row>
    <row r="681" spans="2:6" ht="15.75" customHeight="1" x14ac:dyDescent="0.2">
      <c r="B681" s="157"/>
      <c r="C681" s="157"/>
      <c r="D681" s="157"/>
      <c r="E681" s="157"/>
      <c r="F681" s="157"/>
    </row>
    <row r="682" spans="2:6" ht="15.75" customHeight="1" x14ac:dyDescent="0.2">
      <c r="B682" s="157"/>
      <c r="C682" s="157"/>
      <c r="D682" s="157"/>
      <c r="E682" s="157"/>
      <c r="F682" s="157"/>
    </row>
    <row r="683" spans="2:6" ht="15.75" customHeight="1" x14ac:dyDescent="0.2">
      <c r="B683" s="157"/>
      <c r="C683" s="157"/>
      <c r="D683" s="157"/>
      <c r="E683" s="157"/>
      <c r="F683" s="157"/>
    </row>
    <row r="684" spans="2:6" ht="15.75" customHeight="1" x14ac:dyDescent="0.2">
      <c r="B684" s="157"/>
      <c r="C684" s="157"/>
      <c r="D684" s="157"/>
      <c r="E684" s="157"/>
      <c r="F684" s="157"/>
    </row>
    <row r="685" spans="2:6" ht="15.75" customHeight="1" x14ac:dyDescent="0.2">
      <c r="B685" s="157"/>
      <c r="C685" s="157"/>
      <c r="D685" s="157"/>
      <c r="E685" s="157"/>
      <c r="F685" s="157"/>
    </row>
    <row r="686" spans="2:6" ht="15.75" customHeight="1" x14ac:dyDescent="0.2">
      <c r="B686" s="157"/>
      <c r="C686" s="157"/>
      <c r="D686" s="157"/>
      <c r="E686" s="157"/>
      <c r="F686" s="157"/>
    </row>
    <row r="687" spans="2:6" ht="15.75" customHeight="1" x14ac:dyDescent="0.2">
      <c r="B687" s="157"/>
      <c r="C687" s="157"/>
      <c r="D687" s="157"/>
      <c r="E687" s="157"/>
      <c r="F687" s="157"/>
    </row>
    <row r="688" spans="2:6" ht="15.75" customHeight="1" x14ac:dyDescent="0.2">
      <c r="B688" s="157"/>
      <c r="C688" s="157"/>
      <c r="D688" s="157"/>
      <c r="E688" s="157"/>
      <c r="F688" s="157"/>
    </row>
    <row r="689" spans="2:6" ht="15.75" customHeight="1" x14ac:dyDescent="0.2">
      <c r="B689" s="157"/>
      <c r="C689" s="157"/>
      <c r="D689" s="157"/>
      <c r="E689" s="157"/>
      <c r="F689" s="157"/>
    </row>
    <row r="690" spans="2:6" ht="15.75" customHeight="1" x14ac:dyDescent="0.2">
      <c r="B690" s="157"/>
      <c r="C690" s="157"/>
      <c r="D690" s="157"/>
      <c r="E690" s="157"/>
      <c r="F690" s="157"/>
    </row>
    <row r="691" spans="2:6" ht="15.75" customHeight="1" x14ac:dyDescent="0.2">
      <c r="B691" s="157"/>
      <c r="C691" s="157"/>
      <c r="D691" s="157"/>
      <c r="E691" s="157"/>
      <c r="F691" s="157"/>
    </row>
    <row r="692" spans="2:6" ht="15.75" customHeight="1" x14ac:dyDescent="0.2">
      <c r="B692" s="157"/>
      <c r="C692" s="157"/>
      <c r="D692" s="157"/>
      <c r="E692" s="157"/>
      <c r="F692" s="157"/>
    </row>
    <row r="693" spans="2:6" ht="15.75" customHeight="1" x14ac:dyDescent="0.2">
      <c r="B693" s="157"/>
      <c r="C693" s="157"/>
      <c r="D693" s="157"/>
      <c r="E693" s="157"/>
      <c r="F693" s="157"/>
    </row>
    <row r="694" spans="2:6" ht="15.75" customHeight="1" x14ac:dyDescent="0.2">
      <c r="B694" s="157"/>
      <c r="C694" s="157"/>
      <c r="D694" s="157"/>
      <c r="E694" s="157"/>
      <c r="F694" s="157"/>
    </row>
    <row r="695" spans="2:6" ht="15.75" customHeight="1" x14ac:dyDescent="0.2">
      <c r="B695" s="157"/>
      <c r="C695" s="157"/>
      <c r="D695" s="157"/>
      <c r="E695" s="157"/>
      <c r="F695" s="157"/>
    </row>
    <row r="696" spans="2:6" ht="15.75" customHeight="1" x14ac:dyDescent="0.2">
      <c r="B696" s="157"/>
      <c r="C696" s="157"/>
      <c r="D696" s="157"/>
      <c r="E696" s="157"/>
      <c r="F696" s="157"/>
    </row>
    <row r="697" spans="2:6" ht="15.75" customHeight="1" x14ac:dyDescent="0.2">
      <c r="B697" s="157"/>
      <c r="C697" s="157"/>
      <c r="D697" s="157"/>
      <c r="E697" s="157"/>
      <c r="F697" s="157"/>
    </row>
    <row r="698" spans="2:6" ht="15.75" customHeight="1" x14ac:dyDescent="0.2">
      <c r="B698" s="157"/>
      <c r="C698" s="157"/>
      <c r="D698" s="157"/>
      <c r="E698" s="157"/>
      <c r="F698" s="157"/>
    </row>
    <row r="699" spans="2:6" ht="15.75" customHeight="1" x14ac:dyDescent="0.2">
      <c r="B699" s="157"/>
      <c r="C699" s="157"/>
      <c r="D699" s="157"/>
      <c r="E699" s="157"/>
      <c r="F699" s="157"/>
    </row>
    <row r="700" spans="2:6" ht="15.75" customHeight="1" x14ac:dyDescent="0.2">
      <c r="B700" s="157"/>
      <c r="C700" s="157"/>
      <c r="D700" s="157"/>
      <c r="E700" s="157"/>
      <c r="F700" s="157"/>
    </row>
    <row r="701" spans="2:6" ht="15.75" customHeight="1" x14ac:dyDescent="0.2">
      <c r="B701" s="157"/>
      <c r="C701" s="157"/>
      <c r="D701" s="157"/>
      <c r="E701" s="157"/>
      <c r="F701" s="157"/>
    </row>
    <row r="702" spans="2:6" ht="15.75" customHeight="1" x14ac:dyDescent="0.2">
      <c r="B702" s="157"/>
      <c r="C702" s="157"/>
      <c r="D702" s="157"/>
      <c r="E702" s="157"/>
      <c r="F702" s="157"/>
    </row>
    <row r="703" spans="2:6" ht="15.75" customHeight="1" x14ac:dyDescent="0.2">
      <c r="B703" s="157"/>
      <c r="C703" s="157"/>
      <c r="D703" s="157"/>
      <c r="E703" s="157"/>
      <c r="F703" s="157"/>
    </row>
    <row r="704" spans="2:6" ht="15.75" customHeight="1" x14ac:dyDescent="0.2">
      <c r="B704" s="157"/>
      <c r="C704" s="157"/>
      <c r="D704" s="157"/>
      <c r="E704" s="157"/>
      <c r="F704" s="157"/>
    </row>
    <row r="705" spans="2:6" ht="15.75" customHeight="1" x14ac:dyDescent="0.2">
      <c r="B705" s="157"/>
      <c r="C705" s="157"/>
      <c r="D705" s="157"/>
      <c r="E705" s="157"/>
      <c r="F705" s="157"/>
    </row>
    <row r="706" spans="2:6" ht="15.75" customHeight="1" x14ac:dyDescent="0.2">
      <c r="B706" s="157"/>
      <c r="C706" s="157"/>
      <c r="D706" s="157"/>
      <c r="E706" s="157"/>
      <c r="F706" s="157"/>
    </row>
    <row r="707" spans="2:6" ht="15.75" customHeight="1" x14ac:dyDescent="0.2">
      <c r="B707" s="157"/>
      <c r="C707" s="157"/>
      <c r="D707" s="157"/>
      <c r="E707" s="157"/>
      <c r="F707" s="157"/>
    </row>
    <row r="708" spans="2:6" ht="15.75" customHeight="1" x14ac:dyDescent="0.2">
      <c r="B708" s="157"/>
      <c r="C708" s="157"/>
      <c r="D708" s="157"/>
      <c r="E708" s="157"/>
      <c r="F708" s="157"/>
    </row>
    <row r="709" spans="2:6" ht="15.75" customHeight="1" x14ac:dyDescent="0.2">
      <c r="B709" s="157"/>
      <c r="C709" s="157"/>
      <c r="D709" s="157"/>
      <c r="E709" s="157"/>
      <c r="F709" s="157"/>
    </row>
    <row r="710" spans="2:6" ht="15.75" customHeight="1" x14ac:dyDescent="0.2">
      <c r="B710" s="157"/>
      <c r="C710" s="157"/>
      <c r="D710" s="157"/>
      <c r="E710" s="157"/>
      <c r="F710" s="157"/>
    </row>
    <row r="711" spans="2:6" ht="15.75" customHeight="1" x14ac:dyDescent="0.2">
      <c r="B711" s="157"/>
      <c r="C711" s="157"/>
      <c r="D711" s="157"/>
      <c r="E711" s="157"/>
      <c r="F711" s="157"/>
    </row>
    <row r="712" spans="2:6" ht="15.75" customHeight="1" x14ac:dyDescent="0.2">
      <c r="B712" s="157"/>
      <c r="C712" s="157"/>
      <c r="D712" s="157"/>
      <c r="E712" s="157"/>
      <c r="F712" s="157"/>
    </row>
    <row r="713" spans="2:6" ht="15.75" customHeight="1" x14ac:dyDescent="0.2">
      <c r="B713" s="157"/>
      <c r="C713" s="157"/>
      <c r="D713" s="157"/>
      <c r="E713" s="157"/>
      <c r="F713" s="157"/>
    </row>
    <row r="714" spans="2:6" ht="15.75" customHeight="1" x14ac:dyDescent="0.2">
      <c r="B714" s="157"/>
      <c r="C714" s="157"/>
      <c r="D714" s="157"/>
      <c r="E714" s="157"/>
      <c r="F714" s="157"/>
    </row>
    <row r="715" spans="2:6" ht="15.75" customHeight="1" x14ac:dyDescent="0.2">
      <c r="B715" s="157"/>
      <c r="C715" s="157"/>
      <c r="D715" s="157"/>
      <c r="E715" s="157"/>
      <c r="F715" s="157"/>
    </row>
    <row r="716" spans="2:6" ht="15.75" customHeight="1" x14ac:dyDescent="0.2">
      <c r="B716" s="157"/>
      <c r="C716" s="157"/>
      <c r="D716" s="157"/>
      <c r="E716" s="157"/>
      <c r="F716" s="157"/>
    </row>
    <row r="717" spans="2:6" ht="15.75" customHeight="1" x14ac:dyDescent="0.2">
      <c r="B717" s="157"/>
      <c r="C717" s="157"/>
      <c r="D717" s="157"/>
      <c r="E717" s="157"/>
      <c r="F717" s="157"/>
    </row>
    <row r="718" spans="2:6" ht="15.75" customHeight="1" x14ac:dyDescent="0.2">
      <c r="B718" s="157"/>
      <c r="C718" s="157"/>
      <c r="D718" s="157"/>
      <c r="E718" s="157"/>
      <c r="F718" s="157"/>
    </row>
    <row r="719" spans="2:6" ht="15.75" customHeight="1" x14ac:dyDescent="0.2">
      <c r="B719" s="157"/>
      <c r="C719" s="157"/>
      <c r="D719" s="157"/>
      <c r="E719" s="157"/>
      <c r="F719" s="157"/>
    </row>
    <row r="720" spans="2:6" ht="15.75" customHeight="1" x14ac:dyDescent="0.2">
      <c r="B720" s="157"/>
      <c r="C720" s="157"/>
      <c r="D720" s="157"/>
      <c r="E720" s="157"/>
      <c r="F720" s="157"/>
    </row>
    <row r="721" spans="2:6" ht="15.75" customHeight="1" x14ac:dyDescent="0.2">
      <c r="B721" s="157"/>
      <c r="C721" s="157"/>
      <c r="D721" s="157"/>
      <c r="E721" s="157"/>
      <c r="F721" s="157"/>
    </row>
    <row r="722" spans="2:6" ht="15.75" customHeight="1" x14ac:dyDescent="0.2">
      <c r="B722" s="157"/>
      <c r="C722" s="157"/>
      <c r="D722" s="157"/>
      <c r="E722" s="157"/>
      <c r="F722" s="157"/>
    </row>
    <row r="723" spans="2:6" ht="15.75" customHeight="1" x14ac:dyDescent="0.2">
      <c r="B723" s="157"/>
      <c r="C723" s="157"/>
      <c r="D723" s="157"/>
      <c r="E723" s="157"/>
      <c r="F723" s="157"/>
    </row>
    <row r="724" spans="2:6" ht="15.75" customHeight="1" x14ac:dyDescent="0.2">
      <c r="B724" s="157"/>
      <c r="C724" s="157"/>
      <c r="D724" s="157"/>
      <c r="E724" s="157"/>
      <c r="F724" s="157"/>
    </row>
    <row r="725" spans="2:6" ht="15.75" customHeight="1" x14ac:dyDescent="0.2">
      <c r="B725" s="157"/>
      <c r="C725" s="157"/>
      <c r="D725" s="157"/>
      <c r="E725" s="157"/>
      <c r="F725" s="157"/>
    </row>
    <row r="726" spans="2:6" ht="15.75" customHeight="1" x14ac:dyDescent="0.2">
      <c r="B726" s="157"/>
      <c r="C726" s="157"/>
      <c r="D726" s="157"/>
      <c r="E726" s="157"/>
      <c r="F726" s="157"/>
    </row>
    <row r="727" spans="2:6" ht="15.75" customHeight="1" x14ac:dyDescent="0.2">
      <c r="B727" s="157"/>
      <c r="C727" s="157"/>
      <c r="D727" s="157"/>
      <c r="E727" s="157"/>
      <c r="F727" s="157"/>
    </row>
    <row r="728" spans="2:6" ht="15.75" customHeight="1" x14ac:dyDescent="0.2">
      <c r="B728" s="157"/>
      <c r="C728" s="157"/>
      <c r="D728" s="157"/>
      <c r="E728" s="157"/>
      <c r="F728" s="157"/>
    </row>
    <row r="729" spans="2:6" ht="15.75" customHeight="1" x14ac:dyDescent="0.2">
      <c r="B729" s="157"/>
      <c r="C729" s="157"/>
      <c r="D729" s="157"/>
      <c r="E729" s="157"/>
      <c r="F729" s="157"/>
    </row>
    <row r="730" spans="2:6" ht="15.75" customHeight="1" x14ac:dyDescent="0.2">
      <c r="B730" s="157"/>
      <c r="C730" s="157"/>
      <c r="D730" s="157"/>
      <c r="E730" s="157"/>
      <c r="F730" s="157"/>
    </row>
    <row r="731" spans="2:6" ht="15.75" customHeight="1" x14ac:dyDescent="0.2">
      <c r="B731" s="157"/>
      <c r="C731" s="157"/>
      <c r="D731" s="157"/>
      <c r="E731" s="157"/>
      <c r="F731" s="157"/>
    </row>
    <row r="732" spans="2:6" ht="15.75" customHeight="1" x14ac:dyDescent="0.2">
      <c r="B732" s="157"/>
      <c r="C732" s="157"/>
      <c r="D732" s="157"/>
      <c r="E732" s="157"/>
      <c r="F732" s="157"/>
    </row>
    <row r="733" spans="2:6" ht="15.75" customHeight="1" x14ac:dyDescent="0.2">
      <c r="B733" s="157"/>
      <c r="C733" s="157"/>
      <c r="D733" s="157"/>
      <c r="E733" s="157"/>
      <c r="F733" s="157"/>
    </row>
    <row r="734" spans="2:6" ht="15.75" customHeight="1" x14ac:dyDescent="0.2">
      <c r="B734" s="157"/>
      <c r="C734" s="157"/>
      <c r="D734" s="157"/>
      <c r="E734" s="157"/>
      <c r="F734" s="157"/>
    </row>
    <row r="735" spans="2:6" ht="15.75" customHeight="1" x14ac:dyDescent="0.2">
      <c r="B735" s="157"/>
      <c r="C735" s="157"/>
      <c r="D735" s="157"/>
      <c r="E735" s="157"/>
      <c r="F735" s="157"/>
    </row>
    <row r="736" spans="2:6" ht="15.75" customHeight="1" x14ac:dyDescent="0.2">
      <c r="B736" s="157"/>
      <c r="C736" s="157"/>
      <c r="D736" s="157"/>
      <c r="E736" s="157"/>
      <c r="F736" s="157"/>
    </row>
    <row r="737" spans="2:6" ht="15.75" customHeight="1" x14ac:dyDescent="0.2">
      <c r="B737" s="157"/>
      <c r="C737" s="157"/>
      <c r="D737" s="157"/>
      <c r="E737" s="157"/>
      <c r="F737" s="157"/>
    </row>
    <row r="738" spans="2:6" ht="15.75" customHeight="1" x14ac:dyDescent="0.2">
      <c r="B738" s="157"/>
      <c r="C738" s="157"/>
      <c r="D738" s="157"/>
      <c r="E738" s="157"/>
      <c r="F738" s="157"/>
    </row>
    <row r="739" spans="2:6" ht="15.75" customHeight="1" x14ac:dyDescent="0.2">
      <c r="B739" s="157"/>
      <c r="C739" s="157"/>
      <c r="D739" s="157"/>
      <c r="E739" s="157"/>
      <c r="F739" s="157"/>
    </row>
    <row r="740" spans="2:6" ht="15.75" customHeight="1" x14ac:dyDescent="0.2">
      <c r="B740" s="157"/>
      <c r="C740" s="157"/>
      <c r="D740" s="157"/>
      <c r="E740" s="157"/>
      <c r="F740" s="157"/>
    </row>
    <row r="741" spans="2:6" ht="15.75" customHeight="1" x14ac:dyDescent="0.2">
      <c r="B741" s="157"/>
      <c r="C741" s="157"/>
      <c r="D741" s="157"/>
      <c r="E741" s="157"/>
      <c r="F741" s="157"/>
    </row>
    <row r="742" spans="2:6" ht="15.75" customHeight="1" x14ac:dyDescent="0.2">
      <c r="B742" s="157"/>
      <c r="C742" s="157"/>
      <c r="D742" s="157"/>
      <c r="E742" s="157"/>
      <c r="F742" s="157"/>
    </row>
    <row r="743" spans="2:6" ht="15.75" customHeight="1" x14ac:dyDescent="0.2">
      <c r="B743" s="157"/>
      <c r="C743" s="157"/>
      <c r="D743" s="157"/>
      <c r="E743" s="157"/>
      <c r="F743" s="157"/>
    </row>
    <row r="744" spans="2:6" ht="15.75" customHeight="1" x14ac:dyDescent="0.2">
      <c r="B744" s="157"/>
      <c r="C744" s="157"/>
      <c r="D744" s="157"/>
      <c r="E744" s="157"/>
      <c r="F744" s="157"/>
    </row>
    <row r="745" spans="2:6" ht="15.75" customHeight="1" x14ac:dyDescent="0.2">
      <c r="B745" s="157"/>
      <c r="C745" s="157"/>
      <c r="D745" s="157"/>
      <c r="E745" s="157"/>
      <c r="F745" s="157"/>
    </row>
    <row r="746" spans="2:6" ht="15.75" customHeight="1" x14ac:dyDescent="0.2">
      <c r="B746" s="157"/>
      <c r="C746" s="157"/>
      <c r="D746" s="157"/>
      <c r="E746" s="157"/>
      <c r="F746" s="157"/>
    </row>
    <row r="747" spans="2:6" ht="15.75" customHeight="1" x14ac:dyDescent="0.2">
      <c r="B747" s="157"/>
      <c r="C747" s="157"/>
      <c r="D747" s="157"/>
      <c r="E747" s="157"/>
      <c r="F747" s="157"/>
    </row>
    <row r="748" spans="2:6" ht="15.75" customHeight="1" x14ac:dyDescent="0.2">
      <c r="B748" s="157"/>
      <c r="C748" s="157"/>
      <c r="D748" s="157"/>
      <c r="E748" s="157"/>
      <c r="F748" s="157"/>
    </row>
    <row r="749" spans="2:6" ht="15.75" customHeight="1" x14ac:dyDescent="0.2">
      <c r="B749" s="157"/>
      <c r="C749" s="157"/>
      <c r="D749" s="157"/>
      <c r="E749" s="157"/>
      <c r="F749" s="157"/>
    </row>
    <row r="750" spans="2:6" ht="15.75" customHeight="1" x14ac:dyDescent="0.2">
      <c r="B750" s="157"/>
      <c r="C750" s="157"/>
      <c r="D750" s="157"/>
      <c r="E750" s="157"/>
      <c r="F750" s="157"/>
    </row>
    <row r="751" spans="2:6" ht="15.75" customHeight="1" x14ac:dyDescent="0.2">
      <c r="B751" s="157"/>
      <c r="C751" s="157"/>
      <c r="D751" s="157"/>
      <c r="E751" s="157"/>
      <c r="F751" s="157"/>
    </row>
    <row r="752" spans="2:6" ht="15.75" customHeight="1" x14ac:dyDescent="0.2">
      <c r="B752" s="157"/>
      <c r="C752" s="157"/>
      <c r="D752" s="157"/>
      <c r="E752" s="157"/>
      <c r="F752" s="157"/>
    </row>
    <row r="753" spans="2:6" ht="15.75" customHeight="1" x14ac:dyDescent="0.2">
      <c r="B753" s="157"/>
      <c r="C753" s="157"/>
      <c r="D753" s="157"/>
      <c r="E753" s="157"/>
      <c r="F753" s="157"/>
    </row>
    <row r="754" spans="2:6" ht="15.75" customHeight="1" x14ac:dyDescent="0.2">
      <c r="B754" s="157"/>
      <c r="C754" s="157"/>
      <c r="D754" s="157"/>
      <c r="E754" s="157"/>
      <c r="F754" s="157"/>
    </row>
    <row r="755" spans="2:6" ht="15.75" customHeight="1" x14ac:dyDescent="0.2">
      <c r="B755" s="157"/>
      <c r="C755" s="157"/>
      <c r="D755" s="157"/>
      <c r="E755" s="157"/>
      <c r="F755" s="157"/>
    </row>
    <row r="756" spans="2:6" ht="15.75" customHeight="1" x14ac:dyDescent="0.2">
      <c r="B756" s="157"/>
      <c r="C756" s="157"/>
      <c r="D756" s="157"/>
      <c r="E756" s="157"/>
      <c r="F756" s="157"/>
    </row>
    <row r="757" spans="2:6" ht="15.75" customHeight="1" x14ac:dyDescent="0.2">
      <c r="B757" s="157"/>
      <c r="C757" s="157"/>
      <c r="D757" s="157"/>
      <c r="E757" s="157"/>
      <c r="F757" s="157"/>
    </row>
    <row r="758" spans="2:6" ht="15.75" customHeight="1" x14ac:dyDescent="0.2">
      <c r="B758" s="157"/>
      <c r="C758" s="157"/>
      <c r="D758" s="157"/>
      <c r="E758" s="157"/>
      <c r="F758" s="157"/>
    </row>
    <row r="759" spans="2:6" ht="15.75" customHeight="1" x14ac:dyDescent="0.2">
      <c r="B759" s="157"/>
      <c r="C759" s="157"/>
      <c r="D759" s="157"/>
      <c r="E759" s="157"/>
      <c r="F759" s="157"/>
    </row>
    <row r="760" spans="2:6" ht="15.75" customHeight="1" x14ac:dyDescent="0.2">
      <c r="B760" s="157"/>
      <c r="C760" s="157"/>
      <c r="D760" s="157"/>
      <c r="E760" s="157"/>
      <c r="F760" s="157"/>
    </row>
    <row r="761" spans="2:6" ht="15.75" customHeight="1" x14ac:dyDescent="0.2">
      <c r="B761" s="157"/>
      <c r="C761" s="157"/>
      <c r="D761" s="157"/>
      <c r="E761" s="157"/>
      <c r="F761" s="157"/>
    </row>
    <row r="762" spans="2:6" ht="15.75" customHeight="1" x14ac:dyDescent="0.2">
      <c r="B762" s="157"/>
      <c r="C762" s="157"/>
      <c r="D762" s="157"/>
      <c r="E762" s="157"/>
      <c r="F762" s="157"/>
    </row>
    <row r="763" spans="2:6" ht="15.75" customHeight="1" x14ac:dyDescent="0.2">
      <c r="B763" s="157"/>
      <c r="C763" s="157"/>
      <c r="D763" s="157"/>
      <c r="E763" s="157"/>
      <c r="F763" s="157"/>
    </row>
    <row r="764" spans="2:6" ht="15.75" customHeight="1" x14ac:dyDescent="0.2">
      <c r="B764" s="157"/>
      <c r="C764" s="157"/>
      <c r="D764" s="157"/>
      <c r="E764" s="157"/>
      <c r="F764" s="157"/>
    </row>
    <row r="765" spans="2:6" ht="15.75" customHeight="1" x14ac:dyDescent="0.2">
      <c r="B765" s="157"/>
      <c r="C765" s="157"/>
      <c r="D765" s="157"/>
      <c r="E765" s="157"/>
      <c r="F765" s="157"/>
    </row>
    <row r="766" spans="2:6" ht="15.75" customHeight="1" x14ac:dyDescent="0.2">
      <c r="B766" s="157"/>
      <c r="C766" s="157"/>
      <c r="D766" s="157"/>
      <c r="E766" s="157"/>
      <c r="F766" s="157"/>
    </row>
    <row r="767" spans="2:6" ht="15.75" customHeight="1" x14ac:dyDescent="0.2">
      <c r="B767" s="157"/>
      <c r="C767" s="157"/>
      <c r="D767" s="157"/>
      <c r="E767" s="157"/>
      <c r="F767" s="157"/>
    </row>
    <row r="768" spans="2:6" ht="15.75" customHeight="1" x14ac:dyDescent="0.2">
      <c r="B768" s="157"/>
      <c r="C768" s="157"/>
      <c r="D768" s="157"/>
      <c r="E768" s="157"/>
      <c r="F768" s="157"/>
    </row>
    <row r="769" spans="2:6" ht="15.75" customHeight="1" x14ac:dyDescent="0.2">
      <c r="B769" s="157"/>
      <c r="C769" s="157"/>
      <c r="D769" s="157"/>
      <c r="E769" s="157"/>
      <c r="F769" s="157"/>
    </row>
    <row r="770" spans="2:6" ht="15.75" customHeight="1" x14ac:dyDescent="0.2">
      <c r="B770" s="157"/>
      <c r="C770" s="157"/>
      <c r="D770" s="157"/>
      <c r="E770" s="157"/>
      <c r="F770" s="157"/>
    </row>
    <row r="771" spans="2:6" ht="15.75" customHeight="1" x14ac:dyDescent="0.2">
      <c r="B771" s="157"/>
      <c r="C771" s="157"/>
      <c r="D771" s="157"/>
      <c r="E771" s="157"/>
      <c r="F771" s="157"/>
    </row>
    <row r="772" spans="2:6" ht="15.75" customHeight="1" x14ac:dyDescent="0.2">
      <c r="B772" s="157"/>
      <c r="C772" s="157"/>
      <c r="D772" s="157"/>
      <c r="E772" s="157"/>
      <c r="F772" s="157"/>
    </row>
    <row r="773" spans="2:6" ht="15.75" customHeight="1" x14ac:dyDescent="0.2">
      <c r="B773" s="157"/>
      <c r="C773" s="157"/>
      <c r="D773" s="157"/>
      <c r="E773" s="157"/>
      <c r="F773" s="157"/>
    </row>
    <row r="774" spans="2:6" ht="15.75" customHeight="1" x14ac:dyDescent="0.2">
      <c r="B774" s="157"/>
      <c r="C774" s="157"/>
      <c r="D774" s="157"/>
      <c r="E774" s="157"/>
      <c r="F774" s="157"/>
    </row>
    <row r="775" spans="2:6" ht="15.75" customHeight="1" x14ac:dyDescent="0.2">
      <c r="B775" s="157"/>
      <c r="C775" s="157"/>
      <c r="D775" s="157"/>
      <c r="E775" s="157"/>
      <c r="F775" s="157"/>
    </row>
    <row r="776" spans="2:6" ht="15.75" customHeight="1" x14ac:dyDescent="0.2">
      <c r="B776" s="157"/>
      <c r="C776" s="157"/>
      <c r="D776" s="157"/>
      <c r="E776" s="157"/>
      <c r="F776" s="157"/>
    </row>
    <row r="777" spans="2:6" ht="15.75" customHeight="1" x14ac:dyDescent="0.2">
      <c r="B777" s="157"/>
      <c r="C777" s="157"/>
      <c r="D777" s="157"/>
      <c r="E777" s="157"/>
      <c r="F777" s="157"/>
    </row>
    <row r="778" spans="2:6" ht="15.75" customHeight="1" x14ac:dyDescent="0.2">
      <c r="B778" s="157"/>
      <c r="C778" s="157"/>
      <c r="D778" s="157"/>
      <c r="E778" s="157"/>
      <c r="F778" s="157"/>
    </row>
    <row r="779" spans="2:6" ht="15.75" customHeight="1" x14ac:dyDescent="0.2">
      <c r="B779" s="157"/>
      <c r="C779" s="157"/>
      <c r="D779" s="157"/>
      <c r="E779" s="157"/>
      <c r="F779" s="157"/>
    </row>
    <row r="780" spans="2:6" ht="15.75" customHeight="1" x14ac:dyDescent="0.2">
      <c r="B780" s="157"/>
      <c r="C780" s="157"/>
      <c r="D780" s="157"/>
      <c r="E780" s="157"/>
      <c r="F780" s="157"/>
    </row>
    <row r="781" spans="2:6" ht="15.75" customHeight="1" x14ac:dyDescent="0.2">
      <c r="B781" s="157"/>
      <c r="C781" s="157"/>
      <c r="D781" s="157"/>
      <c r="E781" s="157"/>
      <c r="F781" s="157"/>
    </row>
    <row r="782" spans="2:6" ht="15.75" customHeight="1" x14ac:dyDescent="0.2">
      <c r="B782" s="157"/>
      <c r="C782" s="157"/>
      <c r="D782" s="157"/>
      <c r="E782" s="157"/>
      <c r="F782" s="157"/>
    </row>
    <row r="783" spans="2:6" ht="15.75" customHeight="1" x14ac:dyDescent="0.2">
      <c r="B783" s="157"/>
      <c r="C783" s="157"/>
      <c r="D783" s="157"/>
      <c r="E783" s="157"/>
      <c r="F783" s="157"/>
    </row>
    <row r="784" spans="2:6" ht="15.75" customHeight="1" x14ac:dyDescent="0.2">
      <c r="B784" s="157"/>
      <c r="C784" s="157"/>
      <c r="D784" s="157"/>
      <c r="E784" s="157"/>
      <c r="F784" s="157"/>
    </row>
    <row r="785" spans="2:6" ht="15.75" customHeight="1" x14ac:dyDescent="0.2">
      <c r="B785" s="157"/>
      <c r="C785" s="157"/>
      <c r="D785" s="157"/>
      <c r="E785" s="157"/>
      <c r="F785" s="157"/>
    </row>
    <row r="786" spans="2:6" ht="15.75" customHeight="1" x14ac:dyDescent="0.2">
      <c r="B786" s="157"/>
      <c r="C786" s="157"/>
      <c r="D786" s="157"/>
      <c r="E786" s="157"/>
      <c r="F786" s="157"/>
    </row>
    <row r="787" spans="2:6" ht="15.75" customHeight="1" x14ac:dyDescent="0.2">
      <c r="B787" s="157"/>
      <c r="C787" s="157"/>
      <c r="D787" s="157"/>
      <c r="E787" s="157"/>
      <c r="F787" s="157"/>
    </row>
    <row r="788" spans="2:6" ht="15.75" customHeight="1" x14ac:dyDescent="0.2">
      <c r="B788" s="157"/>
      <c r="C788" s="157"/>
      <c r="D788" s="157"/>
      <c r="E788" s="157"/>
      <c r="F788" s="157"/>
    </row>
    <row r="789" spans="2:6" ht="15.75" customHeight="1" x14ac:dyDescent="0.2">
      <c r="B789" s="157"/>
      <c r="C789" s="157"/>
      <c r="D789" s="157"/>
      <c r="E789" s="157"/>
      <c r="F789" s="157"/>
    </row>
    <row r="790" spans="2:6" ht="15.75" customHeight="1" x14ac:dyDescent="0.2">
      <c r="B790" s="157"/>
      <c r="C790" s="157"/>
      <c r="D790" s="157"/>
      <c r="E790" s="157"/>
      <c r="F790" s="157"/>
    </row>
    <row r="791" spans="2:6" ht="15.75" customHeight="1" x14ac:dyDescent="0.2">
      <c r="B791" s="157"/>
      <c r="C791" s="157"/>
      <c r="D791" s="157"/>
      <c r="E791" s="157"/>
      <c r="F791" s="157"/>
    </row>
    <row r="792" spans="2:6" ht="15.75" customHeight="1" x14ac:dyDescent="0.2">
      <c r="B792" s="157"/>
      <c r="C792" s="157"/>
      <c r="D792" s="157"/>
      <c r="E792" s="157"/>
      <c r="F792" s="157"/>
    </row>
    <row r="793" spans="2:6" ht="15.75" customHeight="1" x14ac:dyDescent="0.2">
      <c r="B793" s="157"/>
      <c r="C793" s="157"/>
      <c r="D793" s="157"/>
      <c r="E793" s="157"/>
      <c r="F793" s="157"/>
    </row>
    <row r="794" spans="2:6" ht="15.75" customHeight="1" x14ac:dyDescent="0.2">
      <c r="B794" s="157"/>
      <c r="C794" s="157"/>
      <c r="D794" s="157"/>
      <c r="E794" s="157"/>
      <c r="F794" s="157"/>
    </row>
    <row r="795" spans="2:6" ht="15.75" customHeight="1" x14ac:dyDescent="0.2">
      <c r="B795" s="157"/>
      <c r="C795" s="157"/>
      <c r="D795" s="157"/>
      <c r="E795" s="157"/>
      <c r="F795" s="157"/>
    </row>
    <row r="796" spans="2:6" ht="15.75" customHeight="1" x14ac:dyDescent="0.2">
      <c r="B796" s="157"/>
      <c r="C796" s="157"/>
      <c r="D796" s="157"/>
      <c r="E796" s="157"/>
      <c r="F796" s="157"/>
    </row>
    <row r="797" spans="2:6" ht="15.75" customHeight="1" x14ac:dyDescent="0.2">
      <c r="B797" s="157"/>
      <c r="C797" s="157"/>
      <c r="D797" s="157"/>
      <c r="E797" s="157"/>
      <c r="F797" s="157"/>
    </row>
    <row r="798" spans="2:6" ht="15.75" customHeight="1" x14ac:dyDescent="0.2">
      <c r="B798" s="157"/>
      <c r="C798" s="157"/>
      <c r="D798" s="157"/>
      <c r="E798" s="157"/>
      <c r="F798" s="157"/>
    </row>
    <row r="799" spans="2:6" ht="15.75" customHeight="1" x14ac:dyDescent="0.2">
      <c r="B799" s="157"/>
      <c r="C799" s="157"/>
      <c r="D799" s="157"/>
      <c r="E799" s="157"/>
      <c r="F799" s="157"/>
    </row>
    <row r="800" spans="2:6" ht="15.75" customHeight="1" x14ac:dyDescent="0.2">
      <c r="B800" s="157"/>
      <c r="C800" s="157"/>
      <c r="D800" s="157"/>
      <c r="E800" s="157"/>
      <c r="F800" s="157"/>
    </row>
    <row r="801" spans="2:6" ht="15.75" customHeight="1" x14ac:dyDescent="0.2">
      <c r="B801" s="157"/>
      <c r="C801" s="157"/>
      <c r="D801" s="157"/>
      <c r="E801" s="157"/>
      <c r="F801" s="157"/>
    </row>
    <row r="802" spans="2:6" ht="15.75" customHeight="1" x14ac:dyDescent="0.2">
      <c r="B802" s="157"/>
      <c r="C802" s="157"/>
      <c r="D802" s="157"/>
      <c r="E802" s="157"/>
      <c r="F802" s="157"/>
    </row>
    <row r="803" spans="2:6" ht="15.75" customHeight="1" x14ac:dyDescent="0.2">
      <c r="B803" s="157"/>
      <c r="C803" s="157"/>
      <c r="D803" s="157"/>
      <c r="E803" s="157"/>
      <c r="F803" s="157"/>
    </row>
    <row r="804" spans="2:6" ht="15.75" customHeight="1" x14ac:dyDescent="0.2">
      <c r="B804" s="157"/>
      <c r="C804" s="157"/>
      <c r="D804" s="157"/>
      <c r="E804" s="157"/>
      <c r="F804" s="157"/>
    </row>
    <row r="805" spans="2:6" ht="15.75" customHeight="1" x14ac:dyDescent="0.2">
      <c r="B805" s="157"/>
      <c r="C805" s="157"/>
      <c r="D805" s="157"/>
      <c r="E805" s="157"/>
      <c r="F805" s="157"/>
    </row>
    <row r="806" spans="2:6" ht="15.75" customHeight="1" x14ac:dyDescent="0.2">
      <c r="B806" s="157"/>
      <c r="C806" s="157"/>
      <c r="D806" s="157"/>
      <c r="E806" s="157"/>
      <c r="F806" s="157"/>
    </row>
    <row r="807" spans="2:6" ht="15.75" customHeight="1" x14ac:dyDescent="0.2">
      <c r="B807" s="157"/>
      <c r="C807" s="157"/>
      <c r="D807" s="157"/>
      <c r="E807" s="157"/>
      <c r="F807" s="157"/>
    </row>
    <row r="808" spans="2:6" ht="15.75" customHeight="1" x14ac:dyDescent="0.2">
      <c r="B808" s="157"/>
      <c r="C808" s="157"/>
      <c r="D808" s="157"/>
      <c r="E808" s="157"/>
      <c r="F808" s="157"/>
    </row>
    <row r="809" spans="2:6" ht="15.75" customHeight="1" x14ac:dyDescent="0.2">
      <c r="B809" s="157"/>
      <c r="C809" s="157"/>
      <c r="D809" s="157"/>
      <c r="E809" s="157"/>
      <c r="F809" s="157"/>
    </row>
    <row r="810" spans="2:6" ht="15.75" customHeight="1" x14ac:dyDescent="0.2">
      <c r="B810" s="157"/>
      <c r="C810" s="157"/>
      <c r="D810" s="157"/>
      <c r="E810" s="157"/>
      <c r="F810" s="157"/>
    </row>
    <row r="811" spans="2:6" ht="15.75" customHeight="1" x14ac:dyDescent="0.2">
      <c r="B811" s="157"/>
      <c r="C811" s="157"/>
      <c r="D811" s="157"/>
      <c r="E811" s="157"/>
      <c r="F811" s="157"/>
    </row>
    <row r="812" spans="2:6" ht="15.75" customHeight="1" x14ac:dyDescent="0.2">
      <c r="B812" s="157"/>
      <c r="C812" s="157"/>
      <c r="D812" s="157"/>
      <c r="E812" s="157"/>
      <c r="F812" s="157"/>
    </row>
    <row r="813" spans="2:6" ht="15.75" customHeight="1" x14ac:dyDescent="0.2">
      <c r="B813" s="157"/>
      <c r="C813" s="157"/>
      <c r="D813" s="157"/>
      <c r="E813" s="157"/>
      <c r="F813" s="157"/>
    </row>
    <row r="814" spans="2:6" ht="15.75" customHeight="1" x14ac:dyDescent="0.2">
      <c r="B814" s="157"/>
      <c r="C814" s="157"/>
      <c r="D814" s="157"/>
      <c r="E814" s="157"/>
      <c r="F814" s="157"/>
    </row>
    <row r="815" spans="2:6" ht="15.75" customHeight="1" x14ac:dyDescent="0.2">
      <c r="B815" s="157"/>
      <c r="C815" s="157"/>
      <c r="D815" s="157"/>
      <c r="E815" s="157"/>
      <c r="F815" s="157"/>
    </row>
    <row r="816" spans="2:6" ht="15.75" customHeight="1" x14ac:dyDescent="0.2">
      <c r="B816" s="157"/>
      <c r="C816" s="157"/>
      <c r="D816" s="157"/>
      <c r="E816" s="157"/>
      <c r="F816" s="157"/>
    </row>
    <row r="817" spans="2:6" ht="15.75" customHeight="1" x14ac:dyDescent="0.2">
      <c r="B817" s="157"/>
      <c r="C817" s="157"/>
      <c r="D817" s="157"/>
      <c r="E817" s="157"/>
      <c r="F817" s="157"/>
    </row>
    <row r="818" spans="2:6" ht="15.75" customHeight="1" x14ac:dyDescent="0.2">
      <c r="B818" s="157"/>
      <c r="C818" s="157"/>
      <c r="D818" s="157"/>
      <c r="E818" s="157"/>
      <c r="F818" s="157"/>
    </row>
    <row r="819" spans="2:6" ht="15.75" customHeight="1" x14ac:dyDescent="0.2">
      <c r="B819" s="157"/>
      <c r="C819" s="157"/>
      <c r="D819" s="157"/>
      <c r="E819" s="157"/>
      <c r="F819" s="157"/>
    </row>
    <row r="820" spans="2:6" ht="15.75" customHeight="1" x14ac:dyDescent="0.2">
      <c r="B820" s="157"/>
      <c r="C820" s="157"/>
      <c r="D820" s="157"/>
      <c r="E820" s="157"/>
      <c r="F820" s="157"/>
    </row>
    <row r="821" spans="2:6" ht="15.75" customHeight="1" x14ac:dyDescent="0.2">
      <c r="B821" s="157"/>
      <c r="C821" s="157"/>
      <c r="D821" s="157"/>
      <c r="E821" s="157"/>
      <c r="F821" s="157"/>
    </row>
    <row r="822" spans="2:6" ht="15.75" customHeight="1" x14ac:dyDescent="0.2">
      <c r="B822" s="157"/>
      <c r="C822" s="157"/>
      <c r="D822" s="157"/>
      <c r="E822" s="157"/>
      <c r="F822" s="157"/>
    </row>
    <row r="823" spans="2:6" ht="15.75" customHeight="1" x14ac:dyDescent="0.2">
      <c r="B823" s="157"/>
      <c r="C823" s="157"/>
      <c r="D823" s="157"/>
      <c r="E823" s="157"/>
      <c r="F823" s="157"/>
    </row>
    <row r="824" spans="2:6" ht="15.75" customHeight="1" x14ac:dyDescent="0.2">
      <c r="B824" s="157"/>
      <c r="C824" s="157"/>
      <c r="D824" s="157"/>
      <c r="E824" s="157"/>
      <c r="F824" s="157"/>
    </row>
    <row r="825" spans="2:6" ht="15.75" customHeight="1" x14ac:dyDescent="0.2">
      <c r="B825" s="157"/>
      <c r="C825" s="157"/>
      <c r="D825" s="157"/>
      <c r="E825" s="157"/>
      <c r="F825" s="157"/>
    </row>
    <row r="826" spans="2:6" ht="15.75" customHeight="1" x14ac:dyDescent="0.2">
      <c r="B826" s="157"/>
      <c r="C826" s="157"/>
      <c r="D826" s="157"/>
      <c r="E826" s="157"/>
      <c r="F826" s="157"/>
    </row>
    <row r="827" spans="2:6" ht="15.75" customHeight="1" x14ac:dyDescent="0.2">
      <c r="B827" s="157"/>
      <c r="C827" s="157"/>
      <c r="D827" s="157"/>
      <c r="E827" s="157"/>
      <c r="F827" s="157"/>
    </row>
    <row r="828" spans="2:6" ht="15.75" customHeight="1" x14ac:dyDescent="0.2">
      <c r="B828" s="157"/>
      <c r="C828" s="157"/>
      <c r="D828" s="157"/>
      <c r="E828" s="157"/>
      <c r="F828" s="157"/>
    </row>
    <row r="829" spans="2:6" ht="15.75" customHeight="1" x14ac:dyDescent="0.2">
      <c r="B829" s="157"/>
      <c r="C829" s="157"/>
      <c r="D829" s="157"/>
      <c r="E829" s="157"/>
      <c r="F829" s="157"/>
    </row>
    <row r="830" spans="2:6" ht="15.75" customHeight="1" x14ac:dyDescent="0.2">
      <c r="B830" s="157"/>
      <c r="C830" s="157"/>
      <c r="D830" s="157"/>
      <c r="E830" s="157"/>
      <c r="F830" s="157"/>
    </row>
    <row r="831" spans="2:6" ht="15.75" customHeight="1" x14ac:dyDescent="0.2">
      <c r="B831" s="157"/>
      <c r="C831" s="157"/>
      <c r="D831" s="157"/>
      <c r="E831" s="157"/>
      <c r="F831" s="157"/>
    </row>
    <row r="832" spans="2:6" ht="15.75" customHeight="1" x14ac:dyDescent="0.2">
      <c r="B832" s="157"/>
      <c r="C832" s="157"/>
      <c r="D832" s="157"/>
      <c r="E832" s="157"/>
      <c r="F832" s="157"/>
    </row>
    <row r="833" spans="2:6" ht="15.75" customHeight="1" x14ac:dyDescent="0.2">
      <c r="B833" s="157"/>
      <c r="C833" s="157"/>
      <c r="D833" s="157"/>
      <c r="E833" s="157"/>
      <c r="F833" s="157"/>
    </row>
    <row r="834" spans="2:6" ht="15.75" customHeight="1" x14ac:dyDescent="0.2">
      <c r="B834" s="157"/>
      <c r="C834" s="157"/>
      <c r="D834" s="157"/>
      <c r="E834" s="157"/>
      <c r="F834" s="157"/>
    </row>
    <row r="835" spans="2:6" ht="15.75" customHeight="1" x14ac:dyDescent="0.2">
      <c r="B835" s="157"/>
      <c r="C835" s="157"/>
      <c r="D835" s="157"/>
      <c r="E835" s="157"/>
      <c r="F835" s="157"/>
    </row>
    <row r="836" spans="2:6" ht="15.75" customHeight="1" x14ac:dyDescent="0.2">
      <c r="B836" s="157"/>
      <c r="C836" s="157"/>
      <c r="D836" s="157"/>
      <c r="E836" s="157"/>
      <c r="F836" s="157"/>
    </row>
    <row r="837" spans="2:6" ht="15.75" customHeight="1" x14ac:dyDescent="0.2">
      <c r="B837" s="157"/>
      <c r="C837" s="157"/>
      <c r="D837" s="157"/>
      <c r="E837" s="157"/>
      <c r="F837" s="157"/>
    </row>
    <row r="838" spans="2:6" ht="15.75" customHeight="1" x14ac:dyDescent="0.2">
      <c r="B838" s="157"/>
      <c r="C838" s="157"/>
      <c r="D838" s="157"/>
      <c r="E838" s="157"/>
      <c r="F838" s="157"/>
    </row>
    <row r="839" spans="2:6" ht="15.75" customHeight="1" x14ac:dyDescent="0.2">
      <c r="B839" s="157"/>
      <c r="C839" s="157"/>
      <c r="D839" s="157"/>
      <c r="E839" s="157"/>
      <c r="F839" s="157"/>
    </row>
    <row r="840" spans="2:6" ht="15.75" customHeight="1" x14ac:dyDescent="0.2">
      <c r="B840" s="157"/>
      <c r="C840" s="157"/>
      <c r="D840" s="157"/>
      <c r="E840" s="157"/>
      <c r="F840" s="157"/>
    </row>
    <row r="841" spans="2:6" ht="15.75" customHeight="1" x14ac:dyDescent="0.2">
      <c r="B841" s="157"/>
      <c r="C841" s="157"/>
      <c r="D841" s="157"/>
      <c r="E841" s="157"/>
      <c r="F841" s="157"/>
    </row>
    <row r="842" spans="2:6" ht="15.75" customHeight="1" x14ac:dyDescent="0.2">
      <c r="B842" s="157"/>
      <c r="C842" s="157"/>
      <c r="D842" s="157"/>
      <c r="E842" s="157"/>
      <c r="F842" s="157"/>
    </row>
    <row r="843" spans="2:6" ht="15.75" customHeight="1" x14ac:dyDescent="0.2">
      <c r="B843" s="157"/>
      <c r="C843" s="157"/>
      <c r="D843" s="157"/>
      <c r="E843" s="157"/>
      <c r="F843" s="157"/>
    </row>
    <row r="844" spans="2:6" ht="15.75" customHeight="1" x14ac:dyDescent="0.2">
      <c r="B844" s="157"/>
      <c r="C844" s="157"/>
      <c r="D844" s="157"/>
      <c r="E844" s="157"/>
      <c r="F844" s="157"/>
    </row>
    <row r="845" spans="2:6" ht="15.75" customHeight="1" x14ac:dyDescent="0.2">
      <c r="B845" s="157"/>
      <c r="C845" s="157"/>
      <c r="D845" s="157"/>
      <c r="E845" s="157"/>
      <c r="F845" s="157"/>
    </row>
    <row r="846" spans="2:6" ht="15.75" customHeight="1" x14ac:dyDescent="0.2">
      <c r="B846" s="157"/>
      <c r="C846" s="157"/>
      <c r="D846" s="157"/>
      <c r="E846" s="157"/>
      <c r="F846" s="157"/>
    </row>
    <row r="847" spans="2:6" ht="15.75" customHeight="1" x14ac:dyDescent="0.2">
      <c r="B847" s="157"/>
      <c r="C847" s="157"/>
      <c r="D847" s="157"/>
      <c r="E847" s="157"/>
      <c r="F847" s="157"/>
    </row>
    <row r="848" spans="2:6" ht="15.75" customHeight="1" x14ac:dyDescent="0.2">
      <c r="B848" s="157"/>
      <c r="C848" s="157"/>
      <c r="D848" s="157"/>
      <c r="E848" s="157"/>
      <c r="F848" s="157"/>
    </row>
    <row r="849" spans="2:6" ht="15.75" customHeight="1" x14ac:dyDescent="0.2">
      <c r="B849" s="157"/>
      <c r="C849" s="157"/>
      <c r="D849" s="157"/>
      <c r="E849" s="157"/>
      <c r="F849" s="157"/>
    </row>
    <row r="850" spans="2:6" ht="15.75" customHeight="1" x14ac:dyDescent="0.2">
      <c r="B850" s="157"/>
      <c r="C850" s="157"/>
      <c r="D850" s="157"/>
      <c r="E850" s="157"/>
      <c r="F850" s="157"/>
    </row>
    <row r="851" spans="2:6" ht="15.75" customHeight="1" x14ac:dyDescent="0.2">
      <c r="B851" s="157"/>
      <c r="C851" s="157"/>
      <c r="D851" s="157"/>
      <c r="E851" s="157"/>
      <c r="F851" s="157"/>
    </row>
    <row r="852" spans="2:6" ht="15.75" customHeight="1" x14ac:dyDescent="0.2">
      <c r="B852" s="157"/>
      <c r="C852" s="157"/>
      <c r="D852" s="157"/>
      <c r="E852" s="157"/>
      <c r="F852" s="157"/>
    </row>
    <row r="853" spans="2:6" ht="15.75" customHeight="1" x14ac:dyDescent="0.2">
      <c r="B853" s="157"/>
      <c r="C853" s="157"/>
      <c r="D853" s="157"/>
      <c r="E853" s="157"/>
      <c r="F853" s="157"/>
    </row>
    <row r="854" spans="2:6" ht="15.75" customHeight="1" x14ac:dyDescent="0.2">
      <c r="B854" s="157"/>
      <c r="C854" s="157"/>
      <c r="D854" s="157"/>
      <c r="E854" s="157"/>
      <c r="F854" s="157"/>
    </row>
    <row r="855" spans="2:6" ht="15.75" customHeight="1" x14ac:dyDescent="0.2">
      <c r="B855" s="157"/>
      <c r="C855" s="157"/>
      <c r="D855" s="157"/>
      <c r="E855" s="157"/>
      <c r="F855" s="157"/>
    </row>
    <row r="856" spans="2:6" ht="15.75" customHeight="1" x14ac:dyDescent="0.2">
      <c r="B856" s="157"/>
      <c r="C856" s="157"/>
      <c r="D856" s="157"/>
      <c r="E856" s="157"/>
      <c r="F856" s="157"/>
    </row>
    <row r="857" spans="2:6" ht="15.75" customHeight="1" x14ac:dyDescent="0.2">
      <c r="B857" s="157"/>
      <c r="C857" s="157"/>
      <c r="D857" s="157"/>
      <c r="E857" s="157"/>
      <c r="F857" s="157"/>
    </row>
    <row r="858" spans="2:6" ht="15.75" customHeight="1" x14ac:dyDescent="0.2">
      <c r="B858" s="157"/>
      <c r="C858" s="157"/>
      <c r="D858" s="157"/>
      <c r="E858" s="157"/>
      <c r="F858" s="157"/>
    </row>
    <row r="859" spans="2:6" ht="15.75" customHeight="1" x14ac:dyDescent="0.2">
      <c r="B859" s="157"/>
      <c r="C859" s="157"/>
      <c r="D859" s="157"/>
      <c r="E859" s="157"/>
      <c r="F859" s="157"/>
    </row>
    <row r="860" spans="2:6" ht="15.75" customHeight="1" x14ac:dyDescent="0.2">
      <c r="B860" s="157"/>
      <c r="C860" s="157"/>
      <c r="D860" s="157"/>
      <c r="E860" s="157"/>
      <c r="F860" s="157"/>
    </row>
    <row r="861" spans="2:6" ht="15.75" customHeight="1" x14ac:dyDescent="0.2">
      <c r="B861" s="157"/>
      <c r="C861" s="157"/>
      <c r="D861" s="157"/>
      <c r="E861" s="157"/>
      <c r="F861" s="157"/>
    </row>
    <row r="862" spans="2:6" ht="15.75" customHeight="1" x14ac:dyDescent="0.2">
      <c r="B862" s="157"/>
      <c r="C862" s="157"/>
      <c r="D862" s="157"/>
      <c r="E862" s="157"/>
      <c r="F862" s="157"/>
    </row>
    <row r="863" spans="2:6" ht="15.75" customHeight="1" x14ac:dyDescent="0.2">
      <c r="B863" s="157"/>
      <c r="C863" s="157"/>
      <c r="D863" s="157"/>
      <c r="E863" s="157"/>
      <c r="F863" s="157"/>
    </row>
    <row r="864" spans="2:6" ht="15.75" customHeight="1" x14ac:dyDescent="0.2">
      <c r="B864" s="157"/>
      <c r="C864" s="157"/>
      <c r="D864" s="157"/>
      <c r="E864" s="157"/>
      <c r="F864" s="157"/>
    </row>
    <row r="865" spans="2:6" ht="15.75" customHeight="1" x14ac:dyDescent="0.2">
      <c r="B865" s="157"/>
      <c r="C865" s="157"/>
      <c r="D865" s="157"/>
      <c r="E865" s="157"/>
      <c r="F865" s="157"/>
    </row>
    <row r="866" spans="2:6" ht="15.75" customHeight="1" x14ac:dyDescent="0.2">
      <c r="B866" s="157"/>
      <c r="C866" s="157"/>
      <c r="D866" s="157"/>
      <c r="E866" s="157"/>
      <c r="F866" s="157"/>
    </row>
    <row r="867" spans="2:6" ht="15.75" customHeight="1" x14ac:dyDescent="0.2">
      <c r="B867" s="157"/>
      <c r="C867" s="157"/>
      <c r="D867" s="157"/>
      <c r="E867" s="157"/>
      <c r="F867" s="157"/>
    </row>
    <row r="868" spans="2:6" ht="15.75" customHeight="1" x14ac:dyDescent="0.2">
      <c r="B868" s="157"/>
      <c r="C868" s="157"/>
      <c r="D868" s="157"/>
      <c r="E868" s="157"/>
      <c r="F868" s="157"/>
    </row>
    <row r="869" spans="2:6" ht="15.75" customHeight="1" x14ac:dyDescent="0.2">
      <c r="B869" s="157"/>
      <c r="C869" s="157"/>
      <c r="D869" s="157"/>
      <c r="E869" s="157"/>
      <c r="F869" s="157"/>
    </row>
    <row r="870" spans="2:6" ht="15.75" customHeight="1" x14ac:dyDescent="0.2">
      <c r="B870" s="157"/>
      <c r="C870" s="157"/>
      <c r="D870" s="157"/>
      <c r="E870" s="157"/>
      <c r="F870" s="157"/>
    </row>
    <row r="871" spans="2:6" ht="15.75" customHeight="1" x14ac:dyDescent="0.2">
      <c r="B871" s="157"/>
      <c r="C871" s="157"/>
      <c r="D871" s="157"/>
      <c r="E871" s="157"/>
      <c r="F871" s="157"/>
    </row>
    <row r="872" spans="2:6" ht="15.75" customHeight="1" x14ac:dyDescent="0.2">
      <c r="B872" s="157"/>
      <c r="C872" s="157"/>
      <c r="D872" s="157"/>
      <c r="E872" s="157"/>
      <c r="F872" s="157"/>
    </row>
    <row r="873" spans="2:6" ht="15.75" customHeight="1" x14ac:dyDescent="0.2">
      <c r="B873" s="157"/>
      <c r="C873" s="157"/>
      <c r="D873" s="157"/>
      <c r="E873" s="157"/>
      <c r="F873" s="157"/>
    </row>
    <row r="874" spans="2:6" ht="15.75" customHeight="1" x14ac:dyDescent="0.2">
      <c r="B874" s="157"/>
      <c r="C874" s="157"/>
      <c r="D874" s="157"/>
      <c r="E874" s="157"/>
      <c r="F874" s="157"/>
    </row>
    <row r="875" spans="2:6" ht="15.75" customHeight="1" x14ac:dyDescent="0.2">
      <c r="B875" s="157"/>
      <c r="C875" s="157"/>
      <c r="D875" s="157"/>
      <c r="E875" s="157"/>
      <c r="F875" s="157"/>
    </row>
    <row r="876" spans="2:6" ht="15.75" customHeight="1" x14ac:dyDescent="0.2">
      <c r="B876" s="157"/>
      <c r="C876" s="157"/>
      <c r="D876" s="157"/>
      <c r="E876" s="157"/>
      <c r="F876" s="157"/>
    </row>
    <row r="877" spans="2:6" ht="15.75" customHeight="1" x14ac:dyDescent="0.2">
      <c r="B877" s="157"/>
      <c r="C877" s="157"/>
      <c r="D877" s="157"/>
      <c r="E877" s="157"/>
      <c r="F877" s="157"/>
    </row>
    <row r="878" spans="2:6" ht="15.75" customHeight="1" x14ac:dyDescent="0.2">
      <c r="B878" s="157"/>
      <c r="C878" s="157"/>
      <c r="D878" s="157"/>
      <c r="E878" s="157"/>
      <c r="F878" s="157"/>
    </row>
    <row r="879" spans="2:6" ht="15.75" customHeight="1" x14ac:dyDescent="0.2">
      <c r="B879" s="157"/>
      <c r="C879" s="157"/>
      <c r="D879" s="157"/>
      <c r="E879" s="157"/>
      <c r="F879" s="157"/>
    </row>
    <row r="880" spans="2:6" ht="15.75" customHeight="1" x14ac:dyDescent="0.2">
      <c r="B880" s="157"/>
      <c r="C880" s="157"/>
      <c r="D880" s="157"/>
      <c r="E880" s="157"/>
      <c r="F880" s="157"/>
    </row>
    <row r="881" spans="2:6" ht="15.75" customHeight="1" x14ac:dyDescent="0.2">
      <c r="B881" s="157"/>
      <c r="C881" s="157"/>
      <c r="D881" s="157"/>
      <c r="E881" s="157"/>
      <c r="F881" s="157"/>
    </row>
    <row r="882" spans="2:6" ht="15.75" customHeight="1" x14ac:dyDescent="0.2">
      <c r="B882" s="157"/>
      <c r="C882" s="157"/>
      <c r="D882" s="157"/>
      <c r="E882" s="157"/>
      <c r="F882" s="157"/>
    </row>
    <row r="883" spans="2:6" ht="15.75" customHeight="1" x14ac:dyDescent="0.2">
      <c r="B883" s="157"/>
      <c r="C883" s="157"/>
      <c r="D883" s="157"/>
      <c r="E883" s="157"/>
      <c r="F883" s="157"/>
    </row>
    <row r="884" spans="2:6" ht="15.75" customHeight="1" x14ac:dyDescent="0.2">
      <c r="B884" s="157"/>
      <c r="C884" s="157"/>
      <c r="D884" s="157"/>
      <c r="E884" s="157"/>
      <c r="F884" s="157"/>
    </row>
    <row r="885" spans="2:6" ht="15.75" customHeight="1" x14ac:dyDescent="0.2">
      <c r="B885" s="157"/>
      <c r="C885" s="157"/>
      <c r="D885" s="157"/>
      <c r="E885" s="157"/>
      <c r="F885" s="157"/>
    </row>
    <row r="886" spans="2:6" ht="15.75" customHeight="1" x14ac:dyDescent="0.2">
      <c r="B886" s="157"/>
      <c r="C886" s="157"/>
      <c r="D886" s="157"/>
      <c r="E886" s="157"/>
      <c r="F886" s="157"/>
    </row>
    <row r="887" spans="2:6" ht="15.75" customHeight="1" x14ac:dyDescent="0.2">
      <c r="B887" s="157"/>
      <c r="C887" s="157"/>
      <c r="D887" s="157"/>
      <c r="E887" s="157"/>
      <c r="F887" s="157"/>
    </row>
    <row r="888" spans="2:6" ht="15.75" customHeight="1" x14ac:dyDescent="0.2">
      <c r="B888" s="157"/>
      <c r="C888" s="157"/>
      <c r="D888" s="157"/>
      <c r="E888" s="157"/>
      <c r="F888" s="157"/>
    </row>
    <row r="889" spans="2:6" ht="15.75" customHeight="1" x14ac:dyDescent="0.2">
      <c r="B889" s="157"/>
      <c r="C889" s="157"/>
      <c r="D889" s="157"/>
      <c r="E889" s="157"/>
      <c r="F889" s="157"/>
    </row>
    <row r="890" spans="2:6" ht="15.75" customHeight="1" x14ac:dyDescent="0.2">
      <c r="B890" s="157"/>
      <c r="C890" s="157"/>
      <c r="D890" s="157"/>
      <c r="E890" s="157"/>
      <c r="F890" s="157"/>
    </row>
    <row r="891" spans="2:6" ht="15.75" customHeight="1" x14ac:dyDescent="0.2">
      <c r="B891" s="157"/>
      <c r="C891" s="157"/>
      <c r="D891" s="157"/>
      <c r="E891" s="157"/>
      <c r="F891" s="157"/>
    </row>
    <row r="892" spans="2:6" ht="15.75" customHeight="1" x14ac:dyDescent="0.2">
      <c r="B892" s="157"/>
      <c r="C892" s="157"/>
      <c r="D892" s="157"/>
      <c r="E892" s="157"/>
      <c r="F892" s="157"/>
    </row>
    <row r="893" spans="2:6" ht="15.75" customHeight="1" x14ac:dyDescent="0.2">
      <c r="B893" s="157"/>
      <c r="C893" s="157"/>
      <c r="D893" s="157"/>
      <c r="E893" s="157"/>
      <c r="F893" s="157"/>
    </row>
    <row r="894" spans="2:6" ht="15.75" customHeight="1" x14ac:dyDescent="0.2">
      <c r="B894" s="157"/>
      <c r="C894" s="157"/>
      <c r="D894" s="157"/>
      <c r="E894" s="157"/>
      <c r="F894" s="157"/>
    </row>
    <row r="895" spans="2:6" ht="15.75" customHeight="1" x14ac:dyDescent="0.2">
      <c r="B895" s="157"/>
      <c r="C895" s="157"/>
      <c r="D895" s="157"/>
      <c r="E895" s="157"/>
      <c r="F895" s="157"/>
    </row>
    <row r="896" spans="2:6" ht="15.75" customHeight="1" x14ac:dyDescent="0.2">
      <c r="B896" s="157"/>
      <c r="C896" s="157"/>
      <c r="D896" s="157"/>
      <c r="E896" s="157"/>
      <c r="F896" s="157"/>
    </row>
    <row r="897" spans="2:6" ht="15.75" customHeight="1" x14ac:dyDescent="0.2">
      <c r="B897" s="157"/>
      <c r="C897" s="157"/>
      <c r="D897" s="157"/>
      <c r="E897" s="157"/>
      <c r="F897" s="157"/>
    </row>
    <row r="898" spans="2:6" ht="15.75" customHeight="1" x14ac:dyDescent="0.2">
      <c r="B898" s="157"/>
      <c r="C898" s="157"/>
      <c r="D898" s="157"/>
      <c r="E898" s="157"/>
      <c r="F898" s="157"/>
    </row>
    <row r="899" spans="2:6" ht="15.75" customHeight="1" x14ac:dyDescent="0.2">
      <c r="B899" s="157"/>
      <c r="C899" s="157"/>
      <c r="D899" s="157"/>
      <c r="E899" s="157"/>
      <c r="F899" s="157"/>
    </row>
    <row r="900" spans="2:6" ht="15.75" customHeight="1" x14ac:dyDescent="0.2">
      <c r="B900" s="157"/>
      <c r="C900" s="157"/>
      <c r="D900" s="157"/>
      <c r="E900" s="157"/>
      <c r="F900" s="157"/>
    </row>
    <row r="901" spans="2:6" ht="15.75" customHeight="1" x14ac:dyDescent="0.2">
      <c r="B901" s="157"/>
      <c r="C901" s="157"/>
      <c r="D901" s="157"/>
      <c r="E901" s="157"/>
      <c r="F901" s="157"/>
    </row>
    <row r="902" spans="2:6" ht="15.75" customHeight="1" x14ac:dyDescent="0.2">
      <c r="B902" s="157"/>
      <c r="C902" s="157"/>
      <c r="D902" s="157"/>
      <c r="E902" s="157"/>
      <c r="F902" s="157"/>
    </row>
    <row r="903" spans="2:6" ht="15.75" customHeight="1" x14ac:dyDescent="0.2">
      <c r="B903" s="157"/>
      <c r="C903" s="157"/>
      <c r="D903" s="157"/>
      <c r="E903" s="157"/>
      <c r="F903" s="157"/>
    </row>
    <row r="904" spans="2:6" ht="15.75" customHeight="1" x14ac:dyDescent="0.2">
      <c r="B904" s="157"/>
      <c r="C904" s="157"/>
      <c r="D904" s="157"/>
      <c r="E904" s="157"/>
      <c r="F904" s="157"/>
    </row>
    <row r="905" spans="2:6" ht="15.75" customHeight="1" x14ac:dyDescent="0.2">
      <c r="B905" s="157"/>
      <c r="C905" s="157"/>
      <c r="D905" s="157"/>
      <c r="E905" s="157"/>
      <c r="F905" s="157"/>
    </row>
    <row r="906" spans="2:6" ht="15.75" customHeight="1" x14ac:dyDescent="0.2">
      <c r="B906" s="157"/>
      <c r="C906" s="157"/>
      <c r="D906" s="157"/>
      <c r="E906" s="157"/>
      <c r="F906" s="157"/>
    </row>
    <row r="907" spans="2:6" ht="15.75" customHeight="1" x14ac:dyDescent="0.2">
      <c r="B907" s="157"/>
      <c r="C907" s="157"/>
      <c r="D907" s="157"/>
      <c r="E907" s="157"/>
      <c r="F907" s="157"/>
    </row>
    <row r="908" spans="2:6" ht="15.75" customHeight="1" x14ac:dyDescent="0.2">
      <c r="B908" s="157"/>
      <c r="C908" s="157"/>
      <c r="D908" s="157"/>
      <c r="E908" s="157"/>
      <c r="F908" s="157"/>
    </row>
    <row r="909" spans="2:6" ht="15.75" customHeight="1" x14ac:dyDescent="0.2">
      <c r="B909" s="157"/>
      <c r="C909" s="157"/>
      <c r="D909" s="157"/>
      <c r="E909" s="157"/>
      <c r="F909" s="157"/>
    </row>
    <row r="910" spans="2:6" ht="15.75" customHeight="1" x14ac:dyDescent="0.2">
      <c r="B910" s="157"/>
      <c r="C910" s="157"/>
      <c r="D910" s="157"/>
      <c r="E910" s="157"/>
      <c r="F910" s="157"/>
    </row>
    <row r="911" spans="2:6" ht="15.75" customHeight="1" x14ac:dyDescent="0.2">
      <c r="B911" s="157"/>
      <c r="C911" s="157"/>
      <c r="D911" s="157"/>
      <c r="E911" s="157"/>
      <c r="F911" s="157"/>
    </row>
    <row r="912" spans="2:6" ht="15.75" customHeight="1" x14ac:dyDescent="0.2">
      <c r="B912" s="157"/>
      <c r="C912" s="157"/>
      <c r="D912" s="157"/>
      <c r="E912" s="157"/>
      <c r="F912" s="157"/>
    </row>
    <row r="913" spans="2:6" ht="15.75" customHeight="1" x14ac:dyDescent="0.2">
      <c r="B913" s="157"/>
      <c r="C913" s="157"/>
      <c r="D913" s="157"/>
      <c r="E913" s="157"/>
      <c r="F913" s="157"/>
    </row>
    <row r="914" spans="2:6" ht="15.75" customHeight="1" x14ac:dyDescent="0.2">
      <c r="B914" s="157"/>
      <c r="C914" s="157"/>
      <c r="D914" s="157"/>
      <c r="E914" s="157"/>
      <c r="F914" s="157"/>
    </row>
    <row r="915" spans="2:6" ht="15.75" customHeight="1" x14ac:dyDescent="0.2">
      <c r="B915" s="157"/>
      <c r="C915" s="157"/>
      <c r="D915" s="157"/>
      <c r="E915" s="157"/>
      <c r="F915" s="157"/>
    </row>
    <row r="916" spans="2:6" ht="15.75" customHeight="1" x14ac:dyDescent="0.2">
      <c r="B916" s="157"/>
      <c r="C916" s="157"/>
      <c r="D916" s="157"/>
      <c r="E916" s="157"/>
      <c r="F916" s="157"/>
    </row>
    <row r="917" spans="2:6" ht="15.75" customHeight="1" x14ac:dyDescent="0.2">
      <c r="B917" s="157"/>
      <c r="C917" s="157"/>
      <c r="D917" s="157"/>
      <c r="E917" s="157"/>
      <c r="F917" s="157"/>
    </row>
    <row r="918" spans="2:6" ht="15.75" customHeight="1" x14ac:dyDescent="0.2">
      <c r="B918" s="157"/>
      <c r="C918" s="157"/>
      <c r="D918" s="157"/>
      <c r="E918" s="157"/>
      <c r="F918" s="157"/>
    </row>
    <row r="919" spans="2:6" ht="15.75" customHeight="1" x14ac:dyDescent="0.2">
      <c r="B919" s="157"/>
      <c r="C919" s="157"/>
      <c r="D919" s="157"/>
      <c r="E919" s="157"/>
      <c r="F919" s="157"/>
    </row>
    <row r="920" spans="2:6" ht="15.75" customHeight="1" x14ac:dyDescent="0.2">
      <c r="B920" s="157"/>
      <c r="C920" s="157"/>
      <c r="D920" s="157"/>
      <c r="E920" s="157"/>
      <c r="F920" s="157"/>
    </row>
    <row r="921" spans="2:6" ht="15.75" customHeight="1" x14ac:dyDescent="0.2">
      <c r="B921" s="157"/>
      <c r="C921" s="157"/>
      <c r="D921" s="157"/>
      <c r="E921" s="157"/>
      <c r="F921" s="157"/>
    </row>
    <row r="922" spans="2:6" ht="15.75" customHeight="1" x14ac:dyDescent="0.2">
      <c r="B922" s="157"/>
      <c r="C922" s="157"/>
      <c r="D922" s="157"/>
      <c r="E922" s="157"/>
      <c r="F922" s="157"/>
    </row>
    <row r="923" spans="2:6" ht="15.75" customHeight="1" x14ac:dyDescent="0.2">
      <c r="B923" s="157"/>
      <c r="C923" s="157"/>
      <c r="D923" s="157"/>
      <c r="E923" s="157"/>
      <c r="F923" s="157"/>
    </row>
    <row r="924" spans="2:6" ht="15.75" customHeight="1" x14ac:dyDescent="0.2">
      <c r="B924" s="157"/>
      <c r="C924" s="157"/>
      <c r="D924" s="157"/>
      <c r="E924" s="157"/>
      <c r="F924" s="157"/>
    </row>
    <row r="925" spans="2:6" ht="15.75" customHeight="1" x14ac:dyDescent="0.2">
      <c r="B925" s="157"/>
      <c r="C925" s="157"/>
      <c r="D925" s="157"/>
      <c r="E925" s="157"/>
      <c r="F925" s="157"/>
    </row>
    <row r="926" spans="2:6" ht="15.75" customHeight="1" x14ac:dyDescent="0.2">
      <c r="B926" s="157"/>
      <c r="C926" s="157"/>
      <c r="D926" s="157"/>
      <c r="E926" s="157"/>
      <c r="F926" s="157"/>
    </row>
    <row r="927" spans="2:6" ht="15.75" customHeight="1" x14ac:dyDescent="0.2">
      <c r="B927" s="157"/>
      <c r="C927" s="157"/>
      <c r="D927" s="157"/>
      <c r="E927" s="157"/>
      <c r="F927" s="157"/>
    </row>
    <row r="928" spans="2:6" ht="15.75" customHeight="1" x14ac:dyDescent="0.2">
      <c r="B928" s="157"/>
      <c r="C928" s="157"/>
      <c r="D928" s="157"/>
      <c r="E928" s="157"/>
      <c r="F928" s="157"/>
    </row>
    <row r="929" spans="2:6" ht="15.75" customHeight="1" x14ac:dyDescent="0.2">
      <c r="B929" s="157"/>
      <c r="C929" s="157"/>
      <c r="D929" s="157"/>
      <c r="E929" s="157"/>
      <c r="F929" s="157"/>
    </row>
    <row r="930" spans="2:6" ht="15.75" customHeight="1" x14ac:dyDescent="0.2">
      <c r="B930" s="157"/>
      <c r="C930" s="157"/>
      <c r="D930" s="157"/>
      <c r="E930" s="157"/>
      <c r="F930" s="157"/>
    </row>
    <row r="931" spans="2:6" ht="15.75" customHeight="1" x14ac:dyDescent="0.2">
      <c r="B931" s="157"/>
      <c r="C931" s="157"/>
      <c r="D931" s="157"/>
      <c r="E931" s="157"/>
      <c r="F931" s="157"/>
    </row>
    <row r="932" spans="2:6" ht="15.75" customHeight="1" x14ac:dyDescent="0.2">
      <c r="B932" s="157"/>
      <c r="C932" s="157"/>
      <c r="D932" s="157"/>
      <c r="E932" s="157"/>
      <c r="F932" s="157"/>
    </row>
    <row r="933" spans="2:6" ht="15.75" customHeight="1" x14ac:dyDescent="0.2">
      <c r="B933" s="157"/>
      <c r="C933" s="157"/>
      <c r="D933" s="157"/>
      <c r="E933" s="157"/>
      <c r="F933" s="157"/>
    </row>
    <row r="934" spans="2:6" ht="15.75" customHeight="1" x14ac:dyDescent="0.2">
      <c r="B934" s="157"/>
      <c r="C934" s="157"/>
      <c r="D934" s="157"/>
      <c r="E934" s="157"/>
      <c r="F934" s="157"/>
    </row>
    <row r="935" spans="2:6" ht="15.75" customHeight="1" x14ac:dyDescent="0.2">
      <c r="B935" s="157"/>
      <c r="C935" s="157"/>
      <c r="D935" s="157"/>
      <c r="E935" s="157"/>
      <c r="F935" s="157"/>
    </row>
    <row r="936" spans="2:6" ht="15.75" customHeight="1" x14ac:dyDescent="0.2">
      <c r="B936" s="157"/>
      <c r="C936" s="157"/>
      <c r="D936" s="157"/>
      <c r="E936" s="157"/>
      <c r="F936" s="157"/>
    </row>
    <row r="937" spans="2:6" ht="15.75" customHeight="1" x14ac:dyDescent="0.2">
      <c r="B937" s="157"/>
      <c r="C937" s="157"/>
      <c r="D937" s="157"/>
      <c r="E937" s="157"/>
      <c r="F937" s="157"/>
    </row>
    <row r="938" spans="2:6" ht="15.75" customHeight="1" x14ac:dyDescent="0.2">
      <c r="B938" s="157"/>
      <c r="C938" s="157"/>
      <c r="D938" s="157"/>
      <c r="E938" s="157"/>
      <c r="F938" s="157"/>
    </row>
    <row r="939" spans="2:6" ht="15.75" customHeight="1" x14ac:dyDescent="0.2">
      <c r="B939" s="157"/>
      <c r="C939" s="157"/>
      <c r="D939" s="157"/>
      <c r="E939" s="157"/>
      <c r="F939" s="157"/>
    </row>
    <row r="940" spans="2:6" ht="15.75" customHeight="1" x14ac:dyDescent="0.2">
      <c r="B940" s="157"/>
      <c r="C940" s="157"/>
      <c r="D940" s="157"/>
      <c r="E940" s="157"/>
      <c r="F940" s="157"/>
    </row>
    <row r="941" spans="2:6" ht="15.75" customHeight="1" x14ac:dyDescent="0.2">
      <c r="B941" s="157"/>
      <c r="C941" s="157"/>
      <c r="D941" s="157"/>
      <c r="E941" s="157"/>
      <c r="F941" s="157"/>
    </row>
    <row r="942" spans="2:6" ht="15.75" customHeight="1" x14ac:dyDescent="0.2">
      <c r="B942" s="157"/>
      <c r="C942" s="157"/>
      <c r="D942" s="157"/>
      <c r="E942" s="157"/>
      <c r="F942" s="157"/>
    </row>
    <row r="943" spans="2:6" ht="15.75" customHeight="1" x14ac:dyDescent="0.2">
      <c r="B943" s="157"/>
      <c r="C943" s="157"/>
      <c r="D943" s="157"/>
      <c r="E943" s="157"/>
      <c r="F943" s="157"/>
    </row>
    <row r="944" spans="2:6" ht="15.75" customHeight="1" x14ac:dyDescent="0.2">
      <c r="B944" s="157"/>
      <c r="C944" s="157"/>
      <c r="D944" s="157"/>
      <c r="E944" s="157"/>
      <c r="F944" s="157"/>
    </row>
    <row r="945" spans="2:6" ht="15.75" customHeight="1" x14ac:dyDescent="0.2">
      <c r="B945" s="157"/>
      <c r="C945" s="157"/>
      <c r="D945" s="157"/>
      <c r="E945" s="157"/>
      <c r="F945" s="157"/>
    </row>
    <row r="946" spans="2:6" ht="15.75" customHeight="1" x14ac:dyDescent="0.2">
      <c r="B946" s="157"/>
      <c r="C946" s="157"/>
      <c r="D946" s="157"/>
      <c r="E946" s="157"/>
      <c r="F946" s="157"/>
    </row>
    <row r="947" spans="2:6" ht="15.75" customHeight="1" x14ac:dyDescent="0.2">
      <c r="B947" s="157"/>
      <c r="C947" s="157"/>
      <c r="D947" s="157"/>
      <c r="E947" s="157"/>
      <c r="F947" s="157"/>
    </row>
    <row r="948" spans="2:6" ht="15.75" customHeight="1" x14ac:dyDescent="0.2">
      <c r="B948" s="157"/>
      <c r="C948" s="157"/>
      <c r="D948" s="157"/>
      <c r="E948" s="157"/>
      <c r="F948" s="157"/>
    </row>
    <row r="949" spans="2:6" ht="15.75" customHeight="1" x14ac:dyDescent="0.2">
      <c r="B949" s="157"/>
      <c r="C949" s="157"/>
      <c r="D949" s="157"/>
      <c r="E949" s="157"/>
      <c r="F949" s="157"/>
    </row>
    <row r="950" spans="2:6" ht="15.75" customHeight="1" x14ac:dyDescent="0.2">
      <c r="B950" s="157"/>
      <c r="C950" s="157"/>
      <c r="D950" s="157"/>
      <c r="E950" s="157"/>
      <c r="F950" s="157"/>
    </row>
    <row r="951" spans="2:6" ht="15.75" customHeight="1" x14ac:dyDescent="0.2">
      <c r="B951" s="157"/>
      <c r="C951" s="157"/>
      <c r="D951" s="157"/>
      <c r="E951" s="157"/>
      <c r="F951" s="157"/>
    </row>
    <row r="952" spans="2:6" ht="15.75" customHeight="1" x14ac:dyDescent="0.2">
      <c r="B952" s="157"/>
      <c r="C952" s="157"/>
      <c r="D952" s="157"/>
      <c r="E952" s="157"/>
      <c r="F952" s="157"/>
    </row>
    <row r="953" spans="2:6" ht="15.75" customHeight="1" x14ac:dyDescent="0.2">
      <c r="B953" s="157"/>
      <c r="C953" s="157"/>
      <c r="D953" s="157"/>
      <c r="E953" s="157"/>
      <c r="F953" s="157"/>
    </row>
    <row r="954" spans="2:6" ht="15.75" customHeight="1" x14ac:dyDescent="0.2">
      <c r="B954" s="157"/>
      <c r="C954" s="157"/>
      <c r="D954" s="157"/>
      <c r="E954" s="157"/>
      <c r="F954" s="157"/>
    </row>
    <row r="955" spans="2:6" ht="15.75" customHeight="1" x14ac:dyDescent="0.2">
      <c r="B955" s="157"/>
      <c r="C955" s="157"/>
      <c r="D955" s="157"/>
      <c r="E955" s="157"/>
      <c r="F955" s="157"/>
    </row>
    <row r="956" spans="2:6" ht="15.75" customHeight="1" x14ac:dyDescent="0.2">
      <c r="B956" s="157"/>
      <c r="C956" s="157"/>
      <c r="D956" s="157"/>
      <c r="E956" s="157"/>
      <c r="F956" s="157"/>
    </row>
    <row r="957" spans="2:6" ht="15.75" customHeight="1" x14ac:dyDescent="0.2">
      <c r="B957" s="157"/>
      <c r="C957" s="157"/>
      <c r="D957" s="157"/>
      <c r="E957" s="157"/>
      <c r="F957" s="157"/>
    </row>
    <row r="958" spans="2:6" ht="15.75" customHeight="1" x14ac:dyDescent="0.2">
      <c r="B958" s="157"/>
      <c r="C958" s="157"/>
      <c r="D958" s="157"/>
      <c r="E958" s="157"/>
      <c r="F958" s="157"/>
    </row>
    <row r="959" spans="2:6" ht="15.75" customHeight="1" x14ac:dyDescent="0.2">
      <c r="B959" s="157"/>
      <c r="C959" s="157"/>
      <c r="D959" s="157"/>
      <c r="E959" s="157"/>
      <c r="F959" s="157"/>
    </row>
    <row r="960" spans="2:6" ht="15.75" customHeight="1" x14ac:dyDescent="0.2">
      <c r="B960" s="157"/>
      <c r="C960" s="157"/>
      <c r="D960" s="157"/>
      <c r="E960" s="157"/>
      <c r="F960" s="157"/>
    </row>
    <row r="961" spans="2:6" ht="15.75" customHeight="1" x14ac:dyDescent="0.2">
      <c r="B961" s="157"/>
      <c r="C961" s="157"/>
      <c r="D961" s="157"/>
      <c r="E961" s="157"/>
      <c r="F961" s="157"/>
    </row>
    <row r="962" spans="2:6" ht="15.75" customHeight="1" x14ac:dyDescent="0.2">
      <c r="B962" s="157"/>
      <c r="C962" s="157"/>
      <c r="D962" s="157"/>
      <c r="E962" s="157"/>
      <c r="F962" s="157"/>
    </row>
    <row r="963" spans="2:6" ht="15.75" customHeight="1" x14ac:dyDescent="0.2">
      <c r="B963" s="157"/>
      <c r="C963" s="157"/>
      <c r="D963" s="157"/>
      <c r="E963" s="157"/>
      <c r="F963" s="157"/>
    </row>
    <row r="964" spans="2:6" ht="15.75" customHeight="1" x14ac:dyDescent="0.2">
      <c r="B964" s="157"/>
      <c r="C964" s="157"/>
      <c r="D964" s="157"/>
      <c r="E964" s="157"/>
      <c r="F964" s="157"/>
    </row>
    <row r="965" spans="2:6" ht="15.75" customHeight="1" x14ac:dyDescent="0.2">
      <c r="B965" s="157"/>
      <c r="C965" s="157"/>
      <c r="D965" s="157"/>
      <c r="E965" s="157"/>
      <c r="F965" s="157"/>
    </row>
    <row r="966" spans="2:6" ht="15.75" customHeight="1" x14ac:dyDescent="0.2">
      <c r="B966" s="157"/>
      <c r="C966" s="157"/>
      <c r="D966" s="157"/>
      <c r="E966" s="157"/>
      <c r="F966" s="157"/>
    </row>
    <row r="967" spans="2:6" ht="15.75" customHeight="1" x14ac:dyDescent="0.2">
      <c r="B967" s="157"/>
      <c r="C967" s="157"/>
      <c r="D967" s="157"/>
      <c r="E967" s="157"/>
      <c r="F967" s="157"/>
    </row>
    <row r="968" spans="2:6" ht="15.75" customHeight="1" x14ac:dyDescent="0.2">
      <c r="B968" s="157"/>
      <c r="C968" s="157"/>
      <c r="D968" s="157"/>
      <c r="E968" s="157"/>
      <c r="F968" s="157"/>
    </row>
    <row r="969" spans="2:6" ht="15.75" customHeight="1" x14ac:dyDescent="0.2">
      <c r="B969" s="157"/>
      <c r="C969" s="157"/>
      <c r="D969" s="157"/>
      <c r="E969" s="157"/>
      <c r="F969" s="157"/>
    </row>
    <row r="970" spans="2:6" ht="15.75" customHeight="1" x14ac:dyDescent="0.2">
      <c r="B970" s="157"/>
      <c r="C970" s="157"/>
      <c r="D970" s="157"/>
      <c r="E970" s="157"/>
      <c r="F970" s="157"/>
    </row>
    <row r="971" spans="2:6" ht="15.75" customHeight="1" x14ac:dyDescent="0.2">
      <c r="B971" s="157"/>
      <c r="C971" s="157"/>
      <c r="D971" s="157"/>
      <c r="E971" s="157"/>
      <c r="F971" s="157"/>
    </row>
    <row r="972" spans="2:6" ht="15.75" customHeight="1" x14ac:dyDescent="0.2">
      <c r="B972" s="157"/>
      <c r="C972" s="157"/>
      <c r="D972" s="157"/>
      <c r="E972" s="157"/>
      <c r="F972" s="157"/>
    </row>
    <row r="973" spans="2:6" ht="15.75" customHeight="1" x14ac:dyDescent="0.2">
      <c r="B973" s="157"/>
      <c r="C973" s="157"/>
      <c r="D973" s="157"/>
      <c r="E973" s="157"/>
      <c r="F973" s="157"/>
    </row>
    <row r="974" spans="2:6" ht="15.75" customHeight="1" x14ac:dyDescent="0.2">
      <c r="B974" s="157"/>
      <c r="C974" s="157"/>
      <c r="D974" s="157"/>
      <c r="E974" s="157"/>
      <c r="F974" s="157"/>
    </row>
    <row r="975" spans="2:6" ht="15.75" customHeight="1" x14ac:dyDescent="0.2">
      <c r="B975" s="157"/>
      <c r="C975" s="157"/>
      <c r="D975" s="157"/>
      <c r="E975" s="157"/>
      <c r="F975" s="157"/>
    </row>
    <row r="976" spans="2:6" ht="15.75" customHeight="1" x14ac:dyDescent="0.2">
      <c r="B976" s="157"/>
      <c r="C976" s="157"/>
      <c r="D976" s="157"/>
      <c r="E976" s="157"/>
      <c r="F976" s="157"/>
    </row>
    <row r="977" spans="2:6" ht="15.75" customHeight="1" x14ac:dyDescent="0.2">
      <c r="B977" s="157"/>
      <c r="C977" s="157"/>
      <c r="D977" s="157"/>
      <c r="E977" s="157"/>
      <c r="F977" s="157"/>
    </row>
    <row r="978" spans="2:6" ht="15.75" customHeight="1" x14ac:dyDescent="0.2">
      <c r="B978" s="157"/>
      <c r="C978" s="157"/>
      <c r="D978" s="157"/>
      <c r="E978" s="157"/>
      <c r="F978" s="157"/>
    </row>
    <row r="979" spans="2:6" ht="15.75" customHeight="1" x14ac:dyDescent="0.2">
      <c r="B979" s="157"/>
      <c r="C979" s="157"/>
      <c r="D979" s="157"/>
      <c r="E979" s="157"/>
      <c r="F979" s="157"/>
    </row>
    <row r="980" spans="2:6" ht="15.75" customHeight="1" x14ac:dyDescent="0.2">
      <c r="B980" s="157"/>
      <c r="C980" s="157"/>
      <c r="D980" s="157"/>
      <c r="E980" s="157"/>
      <c r="F980" s="157"/>
    </row>
    <row r="981" spans="2:6" ht="15.75" customHeight="1" x14ac:dyDescent="0.2">
      <c r="B981" s="157"/>
      <c r="C981" s="157"/>
      <c r="D981" s="157"/>
      <c r="E981" s="157"/>
      <c r="F981" s="157"/>
    </row>
    <row r="982" spans="2:6" ht="15.75" customHeight="1" x14ac:dyDescent="0.2">
      <c r="B982" s="157"/>
      <c r="C982" s="157"/>
      <c r="D982" s="157"/>
      <c r="E982" s="157"/>
      <c r="F982" s="157"/>
    </row>
    <row r="983" spans="2:6" ht="15.75" customHeight="1" x14ac:dyDescent="0.2">
      <c r="B983" s="157"/>
      <c r="C983" s="157"/>
      <c r="D983" s="157"/>
      <c r="E983" s="157"/>
      <c r="F983" s="157"/>
    </row>
    <row r="984" spans="2:6" ht="15.75" customHeight="1" x14ac:dyDescent="0.2">
      <c r="B984" s="157"/>
      <c r="C984" s="157"/>
      <c r="D984" s="157"/>
      <c r="E984" s="157"/>
      <c r="F984" s="157"/>
    </row>
    <row r="985" spans="2:6" ht="15.75" customHeight="1" x14ac:dyDescent="0.2">
      <c r="B985" s="157"/>
      <c r="C985" s="157"/>
      <c r="D985" s="157"/>
      <c r="E985" s="157"/>
      <c r="F985" s="157"/>
    </row>
    <row r="986" spans="2:6" ht="15.75" customHeight="1" x14ac:dyDescent="0.2">
      <c r="B986" s="157"/>
      <c r="C986" s="157"/>
      <c r="D986" s="157"/>
      <c r="E986" s="157"/>
      <c r="F986" s="157"/>
    </row>
    <row r="987" spans="2:6" ht="15.75" customHeight="1" x14ac:dyDescent="0.2">
      <c r="B987" s="157"/>
      <c r="C987" s="157"/>
      <c r="D987" s="157"/>
      <c r="E987" s="157"/>
      <c r="F987" s="157"/>
    </row>
    <row r="988" spans="2:6" ht="15.75" customHeight="1" x14ac:dyDescent="0.2">
      <c r="B988" s="157"/>
      <c r="C988" s="157"/>
      <c r="D988" s="157"/>
      <c r="E988" s="157"/>
      <c r="F988" s="157"/>
    </row>
    <row r="989" spans="2:6" ht="15.75" customHeight="1" x14ac:dyDescent="0.2">
      <c r="B989" s="157"/>
      <c r="C989" s="157"/>
      <c r="D989" s="157"/>
      <c r="E989" s="157"/>
      <c r="F989" s="157"/>
    </row>
    <row r="990" spans="2:6" ht="15.75" customHeight="1" x14ac:dyDescent="0.2">
      <c r="B990" s="157"/>
      <c r="C990" s="157"/>
      <c r="D990" s="157"/>
      <c r="E990" s="157"/>
      <c r="F990" s="157"/>
    </row>
    <row r="991" spans="2:6" ht="15.75" customHeight="1" x14ac:dyDescent="0.2">
      <c r="B991" s="157"/>
      <c r="C991" s="157"/>
      <c r="D991" s="157"/>
      <c r="E991" s="157"/>
      <c r="F991" s="157"/>
    </row>
    <row r="992" spans="2:6" ht="15.75" customHeight="1" x14ac:dyDescent="0.2">
      <c r="B992" s="157"/>
      <c r="C992" s="157"/>
      <c r="D992" s="157"/>
      <c r="E992" s="157"/>
      <c r="F992" s="157"/>
    </row>
    <row r="993" spans="2:6" ht="15.75" customHeight="1" x14ac:dyDescent="0.2">
      <c r="B993" s="157"/>
      <c r="C993" s="157"/>
      <c r="D993" s="157"/>
      <c r="E993" s="157"/>
      <c r="F993" s="157"/>
    </row>
    <row r="994" spans="2:6" ht="15.75" customHeight="1" x14ac:dyDescent="0.2">
      <c r="B994" s="157"/>
      <c r="C994" s="157"/>
      <c r="D994" s="157"/>
      <c r="E994" s="157"/>
      <c r="F994" s="157"/>
    </row>
    <row r="995" spans="2:6" ht="15.75" customHeight="1" x14ac:dyDescent="0.2">
      <c r="B995" s="157"/>
      <c r="C995" s="157"/>
      <c r="D995" s="157"/>
      <c r="E995" s="157"/>
      <c r="F995" s="157"/>
    </row>
    <row r="996" spans="2:6" ht="15.75" customHeight="1" x14ac:dyDescent="0.2">
      <c r="B996" s="157"/>
      <c r="C996" s="157"/>
      <c r="D996" s="157"/>
      <c r="E996" s="157"/>
      <c r="F996" s="157"/>
    </row>
    <row r="997" spans="2:6" ht="15.75" customHeight="1" x14ac:dyDescent="0.2">
      <c r="B997" s="157"/>
      <c r="C997" s="157"/>
      <c r="D997" s="157"/>
      <c r="E997" s="157"/>
      <c r="F997" s="157"/>
    </row>
    <row r="998" spans="2:6" ht="15.75" customHeight="1" x14ac:dyDescent="0.2">
      <c r="B998" s="157"/>
      <c r="C998" s="157"/>
      <c r="D998" s="157"/>
      <c r="E998" s="157"/>
      <c r="F998" s="157"/>
    </row>
    <row r="999" spans="2:6" ht="15.75" customHeight="1" x14ac:dyDescent="0.2">
      <c r="B999" s="157"/>
      <c r="C999" s="157"/>
      <c r="D999" s="157"/>
      <c r="E999" s="157"/>
      <c r="F999" s="157"/>
    </row>
    <row r="1000" spans="2:6" ht="15.75" customHeight="1" x14ac:dyDescent="0.2">
      <c r="B1000" s="157"/>
      <c r="C1000" s="157"/>
      <c r="D1000" s="157"/>
      <c r="E1000" s="157"/>
      <c r="F1000" s="15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E0FE8-057C-CF40-97CF-57E1602844C4}">
  <dimension ref="A1:Z1000"/>
  <sheetViews>
    <sheetView zoomScale="165" workbookViewId="0">
      <selection activeCell="I20" sqref="I20"/>
    </sheetView>
  </sheetViews>
  <sheetFormatPr baseColWidth="10" defaultColWidth="12.6640625" defaultRowHeight="16" x14ac:dyDescent="0.2"/>
  <cols>
    <col min="1" max="1" width="18" bestFit="1" customWidth="1"/>
    <col min="2" max="2" width="15.6640625" customWidth="1"/>
    <col min="3" max="3" width="7.6640625" customWidth="1"/>
    <col min="4" max="4" width="8.5" customWidth="1"/>
    <col min="5" max="5" width="8.6640625" customWidth="1"/>
    <col min="6" max="6" width="10" customWidth="1"/>
    <col min="7" max="7" width="8.1640625" customWidth="1"/>
    <col min="8" max="8" width="8.5" customWidth="1"/>
    <col min="9" max="9" width="17.6640625" customWidth="1"/>
    <col min="10" max="26" width="7.6640625" customWidth="1"/>
  </cols>
  <sheetData>
    <row r="1" spans="1:26" x14ac:dyDescent="0.2">
      <c r="A1" s="57" t="s">
        <v>0</v>
      </c>
      <c r="B1" s="57"/>
      <c r="C1" s="58">
        <v>2025</v>
      </c>
      <c r="D1" s="58">
        <v>2026</v>
      </c>
      <c r="E1" s="58">
        <v>2027</v>
      </c>
      <c r="F1" s="58">
        <v>2028</v>
      </c>
      <c r="G1" s="58">
        <v>2029</v>
      </c>
      <c r="H1" s="58" t="s">
        <v>1491</v>
      </c>
    </row>
    <row r="2" spans="1:26" x14ac:dyDescent="0.2">
      <c r="A2" s="61" t="s">
        <v>1492</v>
      </c>
      <c r="B2" s="162">
        <v>2.5000000000000001E-2</v>
      </c>
      <c r="C2" s="62"/>
      <c r="D2" s="62"/>
      <c r="E2" s="62"/>
      <c r="F2" s="62"/>
      <c r="G2" s="62"/>
      <c r="H2" s="62"/>
    </row>
    <row r="3" spans="1:26" x14ac:dyDescent="0.2">
      <c r="A3" s="61" t="s">
        <v>179</v>
      </c>
      <c r="B3" s="62">
        <f>'Cost of Capital '!B11</f>
        <v>0.10244133556952728</v>
      </c>
      <c r="C3" s="62"/>
      <c r="D3" s="62"/>
      <c r="E3" s="62"/>
      <c r="F3" s="62"/>
      <c r="G3" s="62"/>
      <c r="H3" s="62"/>
    </row>
    <row r="4" spans="1:26" ht="17" thickBot="1" x14ac:dyDescent="0.25">
      <c r="A4" s="163" t="s">
        <v>1493</v>
      </c>
      <c r="B4" s="164">
        <f>DDM!B5</f>
        <v>143.430691</v>
      </c>
      <c r="C4" s="165"/>
      <c r="D4" s="165"/>
      <c r="E4" s="165"/>
      <c r="F4" s="165"/>
      <c r="G4" s="165"/>
      <c r="H4" s="165"/>
    </row>
    <row r="5" spans="1:26" ht="17" thickTop="1" x14ac:dyDescent="0.2">
      <c r="A5" s="61" t="s">
        <v>9</v>
      </c>
      <c r="C5" s="157">
        <f>'Forecasting '!B8</f>
        <v>196.63063596666311</v>
      </c>
      <c r="D5" s="157">
        <f>'Forecasting '!C8</f>
        <v>212.35026284399626</v>
      </c>
      <c r="E5" s="157">
        <f>'Forecasting '!D8</f>
        <v>229.32745987151603</v>
      </c>
      <c r="F5" s="157">
        <f>'Forecasting '!E8</f>
        <v>247.66283266123742</v>
      </c>
      <c r="G5" s="157">
        <f>'Forecasting '!F8</f>
        <v>267.46503527413637</v>
      </c>
      <c r="H5" s="157"/>
    </row>
    <row r="6" spans="1:26" x14ac:dyDescent="0.2">
      <c r="A6" s="61" t="s">
        <v>107</v>
      </c>
      <c r="C6" s="158">
        <f>'Cost of Capital '!B8</f>
        <v>0.3</v>
      </c>
      <c r="D6" s="157"/>
      <c r="E6" s="157"/>
      <c r="F6" s="157"/>
      <c r="G6" s="157"/>
      <c r="H6" s="157"/>
    </row>
    <row r="7" spans="1:26" x14ac:dyDescent="0.2">
      <c r="A7" s="61" t="s">
        <v>1494</v>
      </c>
      <c r="C7" s="157">
        <f>C5*(1-$C$6)</f>
        <v>137.64144517666418</v>
      </c>
      <c r="D7" s="157">
        <f>D5*(1-$C$6)</f>
        <v>148.64518399079736</v>
      </c>
      <c r="E7" s="157">
        <f>E5*(1-$C$6)</f>
        <v>160.52922191006121</v>
      </c>
      <c r="F7" s="157">
        <f>F5*(1-$C$6)</f>
        <v>173.36398286286618</v>
      </c>
      <c r="G7" s="157">
        <f>G5*(1-$C$6)</f>
        <v>187.22552469189546</v>
      </c>
      <c r="H7" s="157"/>
    </row>
    <row r="8" spans="1:26" x14ac:dyDescent="0.2">
      <c r="A8" s="61" t="s">
        <v>7</v>
      </c>
      <c r="C8" s="157">
        <f>-'Forecasting '!B7</f>
        <v>50.928218760221093</v>
      </c>
      <c r="D8" s="157">
        <f>-'Forecasting '!C7</f>
        <v>55.013300261038786</v>
      </c>
      <c r="E8" s="157">
        <f>-'Forecasting '!D7</f>
        <v>59.425188281921898</v>
      </c>
      <c r="F8" s="157">
        <f>-'Forecasting '!E7</f>
        <v>64.190027344475652</v>
      </c>
      <c r="G8" s="157">
        <f>-'Forecasting '!F7</f>
        <v>69.336053532033702</v>
      </c>
      <c r="H8" s="157"/>
    </row>
    <row r="9" spans="1:26" x14ac:dyDescent="0.2">
      <c r="A9" s="61" t="s">
        <v>1495</v>
      </c>
      <c r="C9" s="166">
        <f>'Change in WC and Capex'!I10</f>
        <v>16.307970483594929</v>
      </c>
      <c r="D9" s="166">
        <f>'Change in WC and Capex'!J10</f>
        <v>25.450637638687645</v>
      </c>
      <c r="E9" s="166">
        <f>'Change in WC and Capex'!K10</f>
        <v>27.486688649782629</v>
      </c>
      <c r="F9" s="166">
        <f>'Change in WC and Capex'!L10</f>
        <v>29.685623741765276</v>
      </c>
      <c r="G9" s="166">
        <f>'Change in WC and Capex'!M10</f>
        <v>32.060473641106384</v>
      </c>
      <c r="H9" s="157"/>
      <c r="J9" s="157"/>
    </row>
    <row r="10" spans="1:26" x14ac:dyDescent="0.2">
      <c r="A10" s="61" t="s">
        <v>1496</v>
      </c>
      <c r="C10" s="167">
        <f>Ratios!$K$17*'Forecasting '!B2</f>
        <v>59.486127840000002</v>
      </c>
      <c r="D10" s="167">
        <f>Ratios!$K$17*'Forecasting '!C2</f>
        <v>64.245018067200007</v>
      </c>
      <c r="E10" s="167">
        <f>Ratios!$K$17*'Forecasting '!D2</f>
        <v>69.384619512576009</v>
      </c>
      <c r="F10" s="167">
        <f>Ratios!$K$17*'Forecasting '!E2</f>
        <v>74.935389073582087</v>
      </c>
      <c r="G10" s="167">
        <f>Ratios!$K$17*'Forecasting '!F2</f>
        <v>80.93022019946865</v>
      </c>
      <c r="H10" s="168"/>
    </row>
    <row r="11" spans="1:26" x14ac:dyDescent="0.2">
      <c r="A11" s="160" t="s">
        <v>1497</v>
      </c>
      <c r="B11" s="160"/>
      <c r="C11" s="169">
        <f>SUM(C7:C10)</f>
        <v>264.3637622604802</v>
      </c>
      <c r="D11" s="169">
        <f>SUM(D7:D10)</f>
        <v>293.35413995772382</v>
      </c>
      <c r="E11" s="169">
        <f>SUM(E7:E10)</f>
        <v>316.82571835434175</v>
      </c>
      <c r="F11" s="169">
        <f>SUM(F7:F10)</f>
        <v>342.17502302268917</v>
      </c>
      <c r="G11" s="169">
        <f>SUM(G7:G10)</f>
        <v>369.55227206450417</v>
      </c>
      <c r="H11" s="161">
        <f>G11*(1+B2)/(B3-B2)</f>
        <v>4891.3293666795798</v>
      </c>
    </row>
    <row r="12" spans="1:26" x14ac:dyDescent="0.2">
      <c r="A12" s="61" t="s">
        <v>1487</v>
      </c>
      <c r="C12" s="159">
        <v>1</v>
      </c>
      <c r="D12" s="159">
        <v>2</v>
      </c>
      <c r="E12" s="159">
        <v>3</v>
      </c>
      <c r="F12" s="159">
        <v>4</v>
      </c>
      <c r="G12" s="159">
        <v>5</v>
      </c>
      <c r="H12" s="157"/>
    </row>
    <row r="13" spans="1:26" x14ac:dyDescent="0.2">
      <c r="A13" s="160" t="s">
        <v>1498</v>
      </c>
      <c r="B13" s="160"/>
      <c r="C13" s="167">
        <f>PV($B$3,C12,,-C11)</f>
        <v>239.79848517191931</v>
      </c>
      <c r="D13" s="167">
        <f>PV($B$3,D12,,-D11)</f>
        <v>241.36886290219468</v>
      </c>
      <c r="E13" s="167">
        <f>PV($B$3,E12,,-E11)</f>
        <v>236.45797312516467</v>
      </c>
      <c r="F13" s="167">
        <f>PV($B$3,F12,,-F11)</f>
        <v>231.64682440061964</v>
      </c>
      <c r="G13" s="167">
        <f>PV($B$3,G12,,-G11)</f>
        <v>226.93340732189884</v>
      </c>
      <c r="H13" s="170">
        <f>PV($B$3,G12,,-H11)</f>
        <v>3003.6509674618223</v>
      </c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</row>
    <row r="14" spans="1:26" x14ac:dyDescent="0.2">
      <c r="A14" s="160" t="s">
        <v>1499</v>
      </c>
      <c r="B14" s="161">
        <f>SUM(C13:H13)</f>
        <v>4179.8565203836197</v>
      </c>
      <c r="C14" s="157"/>
      <c r="D14" s="157"/>
      <c r="E14" s="157"/>
      <c r="F14" s="157"/>
      <c r="G14" s="157"/>
      <c r="H14" s="157"/>
    </row>
    <row r="15" spans="1:26" x14ac:dyDescent="0.2">
      <c r="A15" s="61" t="s">
        <v>1501</v>
      </c>
      <c r="B15" s="168">
        <f>'Cost of Capital '!B2</f>
        <v>155.97999999999999</v>
      </c>
      <c r="C15" s="157"/>
      <c r="D15" s="157"/>
      <c r="E15" s="157"/>
      <c r="F15" s="157"/>
      <c r="G15" s="157"/>
      <c r="H15" s="157"/>
    </row>
    <row r="16" spans="1:26" x14ac:dyDescent="0.2">
      <c r="A16" s="160" t="s">
        <v>1489</v>
      </c>
      <c r="B16" s="161">
        <f>B14-B15</f>
        <v>4023.8765203836197</v>
      </c>
      <c r="C16" s="157"/>
      <c r="D16" s="157"/>
      <c r="E16" s="157"/>
      <c r="F16" s="157"/>
      <c r="G16" s="157"/>
      <c r="H16" s="157"/>
    </row>
    <row r="17" spans="1:8" x14ac:dyDescent="0.2">
      <c r="A17" s="202" t="s">
        <v>1500</v>
      </c>
      <c r="B17" s="203">
        <f>B16/B4</f>
        <v>28.054501392478265</v>
      </c>
      <c r="C17" s="157"/>
      <c r="D17" s="157"/>
      <c r="E17" s="157"/>
      <c r="F17" s="157"/>
      <c r="G17" s="157"/>
      <c r="H17" s="157"/>
    </row>
    <row r="18" spans="1:8" x14ac:dyDescent="0.2">
      <c r="C18" s="157"/>
      <c r="D18" s="157"/>
      <c r="E18" s="157"/>
      <c r="F18" s="157"/>
      <c r="G18" s="157"/>
      <c r="H18" s="157"/>
    </row>
    <row r="19" spans="1:8" x14ac:dyDescent="0.2">
      <c r="C19" s="157"/>
      <c r="D19" s="157"/>
      <c r="E19" s="157"/>
      <c r="F19" s="157"/>
      <c r="G19" s="157"/>
      <c r="H19" s="157"/>
    </row>
    <row r="20" spans="1:8" x14ac:dyDescent="0.2">
      <c r="C20" s="157"/>
      <c r="D20" s="157"/>
      <c r="E20" s="157"/>
      <c r="F20" s="157"/>
      <c r="G20" s="157"/>
      <c r="H20" s="157"/>
    </row>
    <row r="21" spans="1:8" ht="15.75" customHeight="1" x14ac:dyDescent="0.2">
      <c r="C21" s="157"/>
      <c r="D21" s="157"/>
      <c r="E21" s="157"/>
      <c r="F21" s="157"/>
      <c r="G21" s="157"/>
      <c r="H21" s="157"/>
    </row>
    <row r="22" spans="1:8" ht="15.75" customHeight="1" x14ac:dyDescent="0.2">
      <c r="C22" s="157"/>
      <c r="D22" s="157"/>
      <c r="E22" s="157"/>
      <c r="F22" s="157"/>
      <c r="G22" s="157"/>
      <c r="H22" s="157"/>
    </row>
    <row r="23" spans="1:8" ht="15.75" customHeight="1" x14ac:dyDescent="0.2">
      <c r="C23" s="157"/>
      <c r="D23" s="157"/>
      <c r="E23" s="157"/>
      <c r="F23" s="157"/>
      <c r="G23" s="157"/>
      <c r="H23" s="157"/>
    </row>
    <row r="24" spans="1:8" ht="15.75" customHeight="1" x14ac:dyDescent="0.2">
      <c r="C24" s="157"/>
      <c r="D24" s="157"/>
      <c r="E24" s="157"/>
      <c r="F24" s="157"/>
      <c r="G24" s="157"/>
      <c r="H24" s="157"/>
    </row>
    <row r="25" spans="1:8" ht="15.75" customHeight="1" x14ac:dyDescent="0.2">
      <c r="C25" s="157"/>
      <c r="D25" s="157"/>
      <c r="E25" s="157"/>
      <c r="F25" s="157"/>
      <c r="G25" s="157"/>
      <c r="H25" s="157"/>
    </row>
    <row r="26" spans="1:8" ht="15.75" customHeight="1" x14ac:dyDescent="0.2">
      <c r="C26" s="157"/>
      <c r="D26" s="157"/>
      <c r="E26" s="157"/>
      <c r="F26" s="157"/>
      <c r="G26" s="157"/>
      <c r="H26" s="157"/>
    </row>
    <row r="27" spans="1:8" ht="15.75" customHeight="1" x14ac:dyDescent="0.2">
      <c r="C27" s="157"/>
      <c r="D27" s="157"/>
      <c r="E27" s="157"/>
      <c r="F27" s="157"/>
      <c r="G27" s="157"/>
      <c r="H27" s="157"/>
    </row>
    <row r="28" spans="1:8" ht="15.75" customHeight="1" x14ac:dyDescent="0.2">
      <c r="C28" s="157"/>
      <c r="D28" s="157"/>
      <c r="E28" s="157"/>
      <c r="F28" s="157"/>
      <c r="G28" s="157"/>
      <c r="H28" s="157"/>
    </row>
    <row r="29" spans="1:8" ht="15.75" customHeight="1" x14ac:dyDescent="0.2">
      <c r="C29" s="157"/>
      <c r="D29" s="157"/>
      <c r="E29" s="157"/>
      <c r="F29" s="157"/>
      <c r="G29" s="157"/>
      <c r="H29" s="157"/>
    </row>
    <row r="30" spans="1:8" ht="15.75" customHeight="1" x14ac:dyDescent="0.2">
      <c r="C30" s="157"/>
      <c r="D30" s="157"/>
      <c r="E30" s="157"/>
      <c r="F30" s="157"/>
      <c r="G30" s="157"/>
      <c r="H30" s="157"/>
    </row>
    <row r="31" spans="1:8" ht="15.75" customHeight="1" x14ac:dyDescent="0.2">
      <c r="C31" s="157"/>
      <c r="D31" s="157"/>
      <c r="E31" s="157"/>
      <c r="F31" s="157"/>
      <c r="G31" s="157"/>
      <c r="H31" s="157"/>
    </row>
    <row r="32" spans="1:8" ht="15.75" customHeight="1" x14ac:dyDescent="0.2">
      <c r="C32" s="157"/>
      <c r="D32" s="157"/>
      <c r="E32" s="157"/>
      <c r="F32" s="157"/>
      <c r="G32" s="157"/>
      <c r="H32" s="157"/>
    </row>
    <row r="33" spans="3:8" ht="15.75" customHeight="1" x14ac:dyDescent="0.2">
      <c r="C33" s="157"/>
      <c r="D33" s="157"/>
      <c r="E33" s="157"/>
      <c r="F33" s="157"/>
      <c r="G33" s="157"/>
      <c r="H33" s="157"/>
    </row>
    <row r="34" spans="3:8" ht="15.75" customHeight="1" x14ac:dyDescent="0.2">
      <c r="C34" s="157"/>
      <c r="D34" s="157"/>
      <c r="E34" s="157"/>
      <c r="F34" s="157"/>
      <c r="G34" s="157"/>
      <c r="H34" s="157"/>
    </row>
    <row r="35" spans="3:8" ht="15.75" customHeight="1" x14ac:dyDescent="0.2">
      <c r="C35" s="157"/>
      <c r="D35" s="157"/>
      <c r="E35" s="157"/>
      <c r="F35" s="157"/>
      <c r="G35" s="157"/>
      <c r="H35" s="157"/>
    </row>
    <row r="36" spans="3:8" ht="15.75" customHeight="1" x14ac:dyDescent="0.2">
      <c r="C36" s="157"/>
      <c r="D36" s="157"/>
      <c r="E36" s="157"/>
      <c r="F36" s="157"/>
      <c r="G36" s="157"/>
      <c r="H36" s="157"/>
    </row>
    <row r="37" spans="3:8" ht="15.75" customHeight="1" x14ac:dyDescent="0.2">
      <c r="C37" s="157"/>
      <c r="D37" s="157"/>
      <c r="E37" s="157"/>
      <c r="F37" s="157"/>
      <c r="G37" s="157"/>
      <c r="H37" s="157"/>
    </row>
    <row r="38" spans="3:8" ht="15.75" customHeight="1" x14ac:dyDescent="0.2">
      <c r="C38" s="157"/>
      <c r="D38" s="157"/>
      <c r="E38" s="157"/>
      <c r="F38" s="157"/>
      <c r="G38" s="157"/>
      <c r="H38" s="157"/>
    </row>
    <row r="39" spans="3:8" ht="15.75" customHeight="1" x14ac:dyDescent="0.2">
      <c r="C39" s="157"/>
      <c r="D39" s="157"/>
      <c r="E39" s="157"/>
      <c r="F39" s="157"/>
      <c r="G39" s="157"/>
      <c r="H39" s="157"/>
    </row>
    <row r="40" spans="3:8" ht="15.75" customHeight="1" x14ac:dyDescent="0.2">
      <c r="C40" s="157"/>
      <c r="D40" s="157"/>
      <c r="E40" s="157"/>
      <c r="F40" s="157"/>
      <c r="G40" s="157"/>
      <c r="H40" s="157"/>
    </row>
    <row r="41" spans="3:8" ht="15.75" customHeight="1" x14ac:dyDescent="0.2">
      <c r="C41" s="157"/>
      <c r="D41" s="157"/>
      <c r="E41" s="157"/>
      <c r="F41" s="157"/>
      <c r="G41" s="157"/>
      <c r="H41" s="157"/>
    </row>
    <row r="42" spans="3:8" ht="15.75" customHeight="1" x14ac:dyDescent="0.2">
      <c r="C42" s="157"/>
      <c r="D42" s="157"/>
      <c r="E42" s="157"/>
      <c r="F42" s="157"/>
      <c r="G42" s="157"/>
      <c r="H42" s="157"/>
    </row>
    <row r="43" spans="3:8" ht="15.75" customHeight="1" x14ac:dyDescent="0.2">
      <c r="C43" s="157"/>
      <c r="D43" s="157"/>
      <c r="E43" s="157"/>
      <c r="F43" s="157"/>
      <c r="G43" s="157"/>
      <c r="H43" s="157"/>
    </row>
    <row r="44" spans="3:8" ht="15.75" customHeight="1" x14ac:dyDescent="0.2">
      <c r="C44" s="157"/>
      <c r="D44" s="157"/>
      <c r="E44" s="157"/>
      <c r="F44" s="157"/>
      <c r="G44" s="157"/>
      <c r="H44" s="157"/>
    </row>
    <row r="45" spans="3:8" ht="15.75" customHeight="1" x14ac:dyDescent="0.2">
      <c r="C45" s="157"/>
      <c r="D45" s="157"/>
      <c r="E45" s="157"/>
      <c r="F45" s="157"/>
      <c r="G45" s="157"/>
      <c r="H45" s="157"/>
    </row>
    <row r="46" spans="3:8" ht="15.75" customHeight="1" x14ac:dyDescent="0.2">
      <c r="C46" s="157"/>
      <c r="D46" s="157"/>
      <c r="E46" s="157"/>
      <c r="F46" s="157"/>
      <c r="G46" s="157"/>
      <c r="H46" s="157"/>
    </row>
    <row r="47" spans="3:8" ht="15.75" customHeight="1" x14ac:dyDescent="0.2">
      <c r="C47" s="157"/>
      <c r="D47" s="157"/>
      <c r="E47" s="157"/>
      <c r="F47" s="157"/>
      <c r="G47" s="157"/>
      <c r="H47" s="157"/>
    </row>
    <row r="48" spans="3:8" ht="15.75" customHeight="1" x14ac:dyDescent="0.2">
      <c r="C48" s="157"/>
      <c r="D48" s="157"/>
      <c r="E48" s="157"/>
      <c r="F48" s="157"/>
      <c r="G48" s="157"/>
      <c r="H48" s="157"/>
    </row>
    <row r="49" spans="3:8" ht="15.75" customHeight="1" x14ac:dyDescent="0.2">
      <c r="C49" s="157"/>
      <c r="D49" s="157"/>
      <c r="E49" s="157"/>
      <c r="F49" s="157"/>
      <c r="G49" s="157"/>
      <c r="H49" s="157"/>
    </row>
    <row r="50" spans="3:8" ht="15.75" customHeight="1" x14ac:dyDescent="0.2">
      <c r="C50" s="157"/>
      <c r="D50" s="157"/>
      <c r="E50" s="157"/>
      <c r="F50" s="157"/>
      <c r="G50" s="157"/>
      <c r="H50" s="157"/>
    </row>
    <row r="51" spans="3:8" ht="15.75" customHeight="1" x14ac:dyDescent="0.2">
      <c r="C51" s="157"/>
      <c r="D51" s="157"/>
      <c r="E51" s="157"/>
      <c r="F51" s="157"/>
      <c r="G51" s="157"/>
      <c r="H51" s="157"/>
    </row>
    <row r="52" spans="3:8" ht="15.75" customHeight="1" x14ac:dyDescent="0.2">
      <c r="C52" s="157"/>
      <c r="D52" s="157"/>
      <c r="E52" s="157"/>
      <c r="F52" s="157"/>
      <c r="G52" s="157"/>
      <c r="H52" s="157"/>
    </row>
    <row r="53" spans="3:8" ht="15.75" customHeight="1" x14ac:dyDescent="0.2">
      <c r="C53" s="157"/>
      <c r="D53" s="157"/>
      <c r="E53" s="157"/>
      <c r="F53" s="157"/>
      <c r="G53" s="157"/>
      <c r="H53" s="157"/>
    </row>
    <row r="54" spans="3:8" ht="15.75" customHeight="1" x14ac:dyDescent="0.2">
      <c r="C54" s="157"/>
      <c r="D54" s="157"/>
      <c r="E54" s="157"/>
      <c r="F54" s="157"/>
      <c r="G54" s="157"/>
      <c r="H54" s="157"/>
    </row>
    <row r="55" spans="3:8" ht="15.75" customHeight="1" x14ac:dyDescent="0.2">
      <c r="C55" s="157"/>
      <c r="D55" s="157"/>
      <c r="E55" s="157"/>
      <c r="F55" s="157"/>
      <c r="G55" s="157"/>
      <c r="H55" s="157"/>
    </row>
    <row r="56" spans="3:8" ht="15.75" customHeight="1" x14ac:dyDescent="0.2">
      <c r="C56" s="157"/>
      <c r="D56" s="157"/>
      <c r="E56" s="157"/>
      <c r="F56" s="157"/>
      <c r="G56" s="157"/>
      <c r="H56" s="157"/>
    </row>
    <row r="57" spans="3:8" ht="15.75" customHeight="1" x14ac:dyDescent="0.2">
      <c r="C57" s="157"/>
      <c r="D57" s="157"/>
      <c r="E57" s="157"/>
      <c r="F57" s="157"/>
      <c r="G57" s="157"/>
      <c r="H57" s="157"/>
    </row>
    <row r="58" spans="3:8" ht="15.75" customHeight="1" x14ac:dyDescent="0.2">
      <c r="C58" s="157"/>
      <c r="D58" s="157"/>
      <c r="E58" s="157"/>
      <c r="F58" s="157"/>
      <c r="G58" s="157"/>
      <c r="H58" s="157"/>
    </row>
    <row r="59" spans="3:8" ht="15.75" customHeight="1" x14ac:dyDescent="0.2">
      <c r="C59" s="157"/>
      <c r="D59" s="157"/>
      <c r="E59" s="157"/>
      <c r="F59" s="157"/>
      <c r="G59" s="157"/>
      <c r="H59" s="157"/>
    </row>
    <row r="60" spans="3:8" ht="15.75" customHeight="1" x14ac:dyDescent="0.2">
      <c r="C60" s="157"/>
      <c r="D60" s="157"/>
      <c r="E60" s="157"/>
      <c r="F60" s="157"/>
      <c r="G60" s="157"/>
      <c r="H60" s="157"/>
    </row>
    <row r="61" spans="3:8" ht="15.75" customHeight="1" x14ac:dyDescent="0.2">
      <c r="C61" s="157"/>
      <c r="D61" s="157"/>
      <c r="E61" s="157"/>
      <c r="F61" s="157"/>
      <c r="G61" s="157"/>
      <c r="H61" s="157"/>
    </row>
    <row r="62" spans="3:8" ht="15.75" customHeight="1" x14ac:dyDescent="0.2">
      <c r="C62" s="157"/>
      <c r="D62" s="157"/>
      <c r="E62" s="157"/>
      <c r="F62" s="157"/>
      <c r="G62" s="157"/>
      <c r="H62" s="157"/>
    </row>
    <row r="63" spans="3:8" ht="15.75" customHeight="1" x14ac:dyDescent="0.2">
      <c r="C63" s="157"/>
      <c r="D63" s="157"/>
      <c r="E63" s="157"/>
      <c r="F63" s="157"/>
      <c r="G63" s="157"/>
      <c r="H63" s="157"/>
    </row>
    <row r="64" spans="3:8" ht="15.75" customHeight="1" x14ac:dyDescent="0.2">
      <c r="C64" s="157"/>
      <c r="D64" s="157"/>
      <c r="E64" s="157"/>
      <c r="F64" s="157"/>
      <c r="G64" s="157"/>
      <c r="H64" s="157"/>
    </row>
    <row r="65" spans="3:8" ht="15.75" customHeight="1" x14ac:dyDescent="0.2">
      <c r="C65" s="157"/>
      <c r="D65" s="157"/>
      <c r="E65" s="157"/>
      <c r="F65" s="157"/>
      <c r="G65" s="157"/>
      <c r="H65" s="157"/>
    </row>
    <row r="66" spans="3:8" ht="15.75" customHeight="1" x14ac:dyDescent="0.2">
      <c r="C66" s="157"/>
      <c r="D66" s="157"/>
      <c r="E66" s="157"/>
      <c r="F66" s="157"/>
      <c r="G66" s="157"/>
      <c r="H66" s="157"/>
    </row>
    <row r="67" spans="3:8" ht="15.75" customHeight="1" x14ac:dyDescent="0.2">
      <c r="C67" s="157"/>
      <c r="D67" s="157"/>
      <c r="E67" s="157"/>
      <c r="F67" s="157"/>
      <c r="G67" s="157"/>
      <c r="H67" s="157"/>
    </row>
    <row r="68" spans="3:8" ht="15.75" customHeight="1" x14ac:dyDescent="0.2">
      <c r="C68" s="157"/>
      <c r="D68" s="157"/>
      <c r="E68" s="157"/>
      <c r="F68" s="157"/>
      <c r="G68" s="157"/>
      <c r="H68" s="157"/>
    </row>
    <row r="69" spans="3:8" ht="15.75" customHeight="1" x14ac:dyDescent="0.2">
      <c r="C69" s="157"/>
      <c r="D69" s="157"/>
      <c r="E69" s="157"/>
      <c r="F69" s="157"/>
      <c r="G69" s="157"/>
      <c r="H69" s="157"/>
    </row>
    <row r="70" spans="3:8" ht="15.75" customHeight="1" x14ac:dyDescent="0.2">
      <c r="C70" s="157"/>
      <c r="D70" s="157"/>
      <c r="E70" s="157"/>
      <c r="F70" s="157"/>
      <c r="G70" s="157"/>
      <c r="H70" s="157"/>
    </row>
    <row r="71" spans="3:8" ht="15.75" customHeight="1" x14ac:dyDescent="0.2">
      <c r="C71" s="157"/>
      <c r="D71" s="157"/>
      <c r="E71" s="157"/>
      <c r="F71" s="157"/>
      <c r="G71" s="157"/>
      <c r="H71" s="157"/>
    </row>
    <row r="72" spans="3:8" ht="15.75" customHeight="1" x14ac:dyDescent="0.2">
      <c r="C72" s="157"/>
      <c r="D72" s="157"/>
      <c r="E72" s="157"/>
      <c r="F72" s="157"/>
      <c r="G72" s="157"/>
      <c r="H72" s="157"/>
    </row>
    <row r="73" spans="3:8" ht="15.75" customHeight="1" x14ac:dyDescent="0.2">
      <c r="C73" s="157"/>
      <c r="D73" s="157"/>
      <c r="E73" s="157"/>
      <c r="F73" s="157"/>
      <c r="G73" s="157"/>
      <c r="H73" s="157"/>
    </row>
    <row r="74" spans="3:8" ht="15.75" customHeight="1" x14ac:dyDescent="0.2">
      <c r="C74" s="157"/>
      <c r="D74" s="157"/>
      <c r="E74" s="157"/>
      <c r="F74" s="157"/>
      <c r="G74" s="157"/>
      <c r="H74" s="157"/>
    </row>
    <row r="75" spans="3:8" ht="15.75" customHeight="1" x14ac:dyDescent="0.2">
      <c r="C75" s="157"/>
      <c r="D75" s="157"/>
      <c r="E75" s="157"/>
      <c r="F75" s="157"/>
      <c r="G75" s="157"/>
      <c r="H75" s="157"/>
    </row>
    <row r="76" spans="3:8" ht="15.75" customHeight="1" x14ac:dyDescent="0.2">
      <c r="C76" s="157"/>
      <c r="D76" s="157"/>
      <c r="E76" s="157"/>
      <c r="F76" s="157"/>
      <c r="G76" s="157"/>
      <c r="H76" s="157"/>
    </row>
    <row r="77" spans="3:8" ht="15.75" customHeight="1" x14ac:dyDescent="0.2">
      <c r="C77" s="157"/>
      <c r="D77" s="157"/>
      <c r="E77" s="157"/>
      <c r="F77" s="157"/>
      <c r="G77" s="157"/>
      <c r="H77" s="157"/>
    </row>
    <row r="78" spans="3:8" ht="15.75" customHeight="1" x14ac:dyDescent="0.2">
      <c r="C78" s="157"/>
      <c r="D78" s="157"/>
      <c r="E78" s="157"/>
      <c r="F78" s="157"/>
      <c r="G78" s="157"/>
      <c r="H78" s="157"/>
    </row>
    <row r="79" spans="3:8" ht="15.75" customHeight="1" x14ac:dyDescent="0.2">
      <c r="C79" s="157"/>
      <c r="D79" s="157"/>
      <c r="E79" s="157"/>
      <c r="F79" s="157"/>
      <c r="G79" s="157"/>
      <c r="H79" s="157"/>
    </row>
    <row r="80" spans="3:8" ht="15.75" customHeight="1" x14ac:dyDescent="0.2">
      <c r="C80" s="157"/>
      <c r="D80" s="157"/>
      <c r="E80" s="157"/>
      <c r="F80" s="157"/>
      <c r="G80" s="157"/>
      <c r="H80" s="157"/>
    </row>
    <row r="81" spans="3:8" ht="15.75" customHeight="1" x14ac:dyDescent="0.2">
      <c r="C81" s="157"/>
      <c r="D81" s="157"/>
      <c r="E81" s="157"/>
      <c r="F81" s="157"/>
      <c r="G81" s="157"/>
      <c r="H81" s="157"/>
    </row>
    <row r="82" spans="3:8" ht="15.75" customHeight="1" x14ac:dyDescent="0.2">
      <c r="C82" s="157"/>
      <c r="D82" s="157"/>
      <c r="E82" s="157"/>
      <c r="F82" s="157"/>
      <c r="G82" s="157"/>
      <c r="H82" s="157"/>
    </row>
    <row r="83" spans="3:8" ht="15.75" customHeight="1" x14ac:dyDescent="0.2">
      <c r="C83" s="157"/>
      <c r="D83" s="157"/>
      <c r="E83" s="157"/>
      <c r="F83" s="157"/>
      <c r="G83" s="157"/>
      <c r="H83" s="157"/>
    </row>
    <row r="84" spans="3:8" ht="15.75" customHeight="1" x14ac:dyDescent="0.2">
      <c r="C84" s="157"/>
      <c r="D84" s="157"/>
      <c r="E84" s="157"/>
      <c r="F84" s="157"/>
      <c r="G84" s="157"/>
      <c r="H84" s="157"/>
    </row>
    <row r="85" spans="3:8" ht="15.75" customHeight="1" x14ac:dyDescent="0.2">
      <c r="C85" s="157"/>
      <c r="D85" s="157"/>
      <c r="E85" s="157"/>
      <c r="F85" s="157"/>
      <c r="G85" s="157"/>
      <c r="H85" s="157"/>
    </row>
    <row r="86" spans="3:8" ht="15.75" customHeight="1" x14ac:dyDescent="0.2">
      <c r="C86" s="157"/>
      <c r="D86" s="157"/>
      <c r="E86" s="157"/>
      <c r="F86" s="157"/>
      <c r="G86" s="157"/>
      <c r="H86" s="157"/>
    </row>
    <row r="87" spans="3:8" ht="15.75" customHeight="1" x14ac:dyDescent="0.2">
      <c r="C87" s="157"/>
      <c r="D87" s="157"/>
      <c r="E87" s="157"/>
      <c r="F87" s="157"/>
      <c r="G87" s="157"/>
      <c r="H87" s="157"/>
    </row>
    <row r="88" spans="3:8" ht="15.75" customHeight="1" x14ac:dyDescent="0.2">
      <c r="C88" s="157"/>
      <c r="D88" s="157"/>
      <c r="E88" s="157"/>
      <c r="F88" s="157"/>
      <c r="G88" s="157"/>
      <c r="H88" s="157"/>
    </row>
    <row r="89" spans="3:8" ht="15.75" customHeight="1" x14ac:dyDescent="0.2">
      <c r="C89" s="157"/>
      <c r="D89" s="157"/>
      <c r="E89" s="157"/>
      <c r="F89" s="157"/>
      <c r="G89" s="157"/>
      <c r="H89" s="157"/>
    </row>
    <row r="90" spans="3:8" ht="15.75" customHeight="1" x14ac:dyDescent="0.2">
      <c r="C90" s="157"/>
      <c r="D90" s="157"/>
      <c r="E90" s="157"/>
      <c r="F90" s="157"/>
      <c r="G90" s="157"/>
      <c r="H90" s="157"/>
    </row>
    <row r="91" spans="3:8" ht="15.75" customHeight="1" x14ac:dyDescent="0.2">
      <c r="C91" s="157"/>
      <c r="D91" s="157"/>
      <c r="E91" s="157"/>
      <c r="F91" s="157"/>
      <c r="G91" s="157"/>
      <c r="H91" s="157"/>
    </row>
    <row r="92" spans="3:8" ht="15.75" customHeight="1" x14ac:dyDescent="0.2">
      <c r="C92" s="157"/>
      <c r="D92" s="157"/>
      <c r="E92" s="157"/>
      <c r="F92" s="157"/>
      <c r="G92" s="157"/>
      <c r="H92" s="157"/>
    </row>
    <row r="93" spans="3:8" ht="15.75" customHeight="1" x14ac:dyDescent="0.2">
      <c r="C93" s="157"/>
      <c r="D93" s="157"/>
      <c r="E93" s="157"/>
      <c r="F93" s="157"/>
      <c r="G93" s="157"/>
      <c r="H93" s="157"/>
    </row>
    <row r="94" spans="3:8" ht="15.75" customHeight="1" x14ac:dyDescent="0.2">
      <c r="C94" s="157"/>
      <c r="D94" s="157"/>
      <c r="E94" s="157"/>
      <c r="F94" s="157"/>
      <c r="G94" s="157"/>
      <c r="H94" s="157"/>
    </row>
    <row r="95" spans="3:8" ht="15.75" customHeight="1" x14ac:dyDescent="0.2">
      <c r="C95" s="157"/>
      <c r="D95" s="157"/>
      <c r="E95" s="157"/>
      <c r="F95" s="157"/>
      <c r="G95" s="157"/>
      <c r="H95" s="157"/>
    </row>
    <row r="96" spans="3:8" ht="15.75" customHeight="1" x14ac:dyDescent="0.2">
      <c r="C96" s="157"/>
      <c r="D96" s="157"/>
      <c r="E96" s="157"/>
      <c r="F96" s="157"/>
      <c r="G96" s="157"/>
      <c r="H96" s="157"/>
    </row>
    <row r="97" spans="3:8" ht="15.75" customHeight="1" x14ac:dyDescent="0.2">
      <c r="C97" s="157"/>
      <c r="D97" s="157"/>
      <c r="E97" s="157"/>
      <c r="F97" s="157"/>
      <c r="G97" s="157"/>
      <c r="H97" s="157"/>
    </row>
    <row r="98" spans="3:8" ht="15.75" customHeight="1" x14ac:dyDescent="0.2">
      <c r="C98" s="157"/>
      <c r="D98" s="157"/>
      <c r="E98" s="157"/>
      <c r="F98" s="157"/>
      <c r="G98" s="157"/>
      <c r="H98" s="157"/>
    </row>
    <row r="99" spans="3:8" ht="15.75" customHeight="1" x14ac:dyDescent="0.2">
      <c r="C99" s="157"/>
      <c r="D99" s="157"/>
      <c r="E99" s="157"/>
      <c r="F99" s="157"/>
      <c r="G99" s="157"/>
      <c r="H99" s="157"/>
    </row>
    <row r="100" spans="3:8" ht="15.75" customHeight="1" x14ac:dyDescent="0.2">
      <c r="C100" s="157"/>
      <c r="D100" s="157"/>
      <c r="E100" s="157"/>
      <c r="F100" s="157"/>
      <c r="G100" s="157"/>
      <c r="H100" s="157"/>
    </row>
    <row r="101" spans="3:8" ht="15.75" customHeight="1" x14ac:dyDescent="0.2">
      <c r="C101" s="157"/>
      <c r="D101" s="157"/>
      <c r="E101" s="157"/>
      <c r="F101" s="157"/>
      <c r="G101" s="157"/>
      <c r="H101" s="157"/>
    </row>
    <row r="102" spans="3:8" ht="15.75" customHeight="1" x14ac:dyDescent="0.2">
      <c r="C102" s="157"/>
      <c r="D102" s="157"/>
      <c r="E102" s="157"/>
      <c r="F102" s="157"/>
      <c r="G102" s="157"/>
      <c r="H102" s="157"/>
    </row>
    <row r="103" spans="3:8" ht="15.75" customHeight="1" x14ac:dyDescent="0.2">
      <c r="C103" s="157"/>
      <c r="D103" s="157"/>
      <c r="E103" s="157"/>
      <c r="F103" s="157"/>
      <c r="G103" s="157"/>
      <c r="H103" s="157"/>
    </row>
    <row r="104" spans="3:8" ht="15.75" customHeight="1" x14ac:dyDescent="0.2">
      <c r="C104" s="157"/>
      <c r="D104" s="157"/>
      <c r="E104" s="157"/>
      <c r="F104" s="157"/>
      <c r="G104" s="157"/>
      <c r="H104" s="157"/>
    </row>
    <row r="105" spans="3:8" ht="15.75" customHeight="1" x14ac:dyDescent="0.2">
      <c r="C105" s="157"/>
      <c r="D105" s="157"/>
      <c r="E105" s="157"/>
      <c r="F105" s="157"/>
      <c r="G105" s="157"/>
      <c r="H105" s="157"/>
    </row>
    <row r="106" spans="3:8" ht="15.75" customHeight="1" x14ac:dyDescent="0.2">
      <c r="C106" s="157"/>
      <c r="D106" s="157"/>
      <c r="E106" s="157"/>
      <c r="F106" s="157"/>
      <c r="G106" s="157"/>
      <c r="H106" s="157"/>
    </row>
    <row r="107" spans="3:8" ht="15.75" customHeight="1" x14ac:dyDescent="0.2">
      <c r="C107" s="157"/>
      <c r="D107" s="157"/>
      <c r="E107" s="157"/>
      <c r="F107" s="157"/>
      <c r="G107" s="157"/>
      <c r="H107" s="157"/>
    </row>
    <row r="108" spans="3:8" ht="15.75" customHeight="1" x14ac:dyDescent="0.2">
      <c r="C108" s="157"/>
      <c r="D108" s="157"/>
      <c r="E108" s="157"/>
      <c r="F108" s="157"/>
      <c r="G108" s="157"/>
      <c r="H108" s="157"/>
    </row>
    <row r="109" spans="3:8" ht="15.75" customHeight="1" x14ac:dyDescent="0.2">
      <c r="C109" s="157"/>
      <c r="D109" s="157"/>
      <c r="E109" s="157"/>
      <c r="F109" s="157"/>
      <c r="G109" s="157"/>
      <c r="H109" s="157"/>
    </row>
    <row r="110" spans="3:8" ht="15.75" customHeight="1" x14ac:dyDescent="0.2">
      <c r="C110" s="157"/>
      <c r="D110" s="157"/>
      <c r="E110" s="157"/>
      <c r="F110" s="157"/>
      <c r="G110" s="157"/>
      <c r="H110" s="157"/>
    </row>
    <row r="111" spans="3:8" ht="15.75" customHeight="1" x14ac:dyDescent="0.2">
      <c r="C111" s="157"/>
      <c r="D111" s="157"/>
      <c r="E111" s="157"/>
      <c r="F111" s="157"/>
      <c r="G111" s="157"/>
      <c r="H111" s="157"/>
    </row>
    <row r="112" spans="3:8" ht="15.75" customHeight="1" x14ac:dyDescent="0.2">
      <c r="C112" s="157"/>
      <c r="D112" s="157"/>
      <c r="E112" s="157"/>
      <c r="F112" s="157"/>
      <c r="G112" s="157"/>
      <c r="H112" s="157"/>
    </row>
    <row r="113" spans="3:8" ht="15.75" customHeight="1" x14ac:dyDescent="0.2">
      <c r="C113" s="157"/>
      <c r="D113" s="157"/>
      <c r="E113" s="157"/>
      <c r="F113" s="157"/>
      <c r="G113" s="157"/>
      <c r="H113" s="157"/>
    </row>
    <row r="114" spans="3:8" ht="15.75" customHeight="1" x14ac:dyDescent="0.2">
      <c r="C114" s="157"/>
      <c r="D114" s="157"/>
      <c r="E114" s="157"/>
      <c r="F114" s="157"/>
      <c r="G114" s="157"/>
      <c r="H114" s="157"/>
    </row>
    <row r="115" spans="3:8" ht="15.75" customHeight="1" x14ac:dyDescent="0.2">
      <c r="C115" s="157"/>
      <c r="D115" s="157"/>
      <c r="E115" s="157"/>
      <c r="F115" s="157"/>
      <c r="G115" s="157"/>
      <c r="H115" s="157"/>
    </row>
    <row r="116" spans="3:8" ht="15.75" customHeight="1" x14ac:dyDescent="0.2">
      <c r="C116" s="157"/>
      <c r="D116" s="157"/>
      <c r="E116" s="157"/>
      <c r="F116" s="157"/>
      <c r="G116" s="157"/>
      <c r="H116" s="157"/>
    </row>
    <row r="117" spans="3:8" ht="15.75" customHeight="1" x14ac:dyDescent="0.2">
      <c r="C117" s="157"/>
      <c r="D117" s="157"/>
      <c r="E117" s="157"/>
      <c r="F117" s="157"/>
      <c r="G117" s="157"/>
      <c r="H117" s="157"/>
    </row>
    <row r="118" spans="3:8" ht="15.75" customHeight="1" x14ac:dyDescent="0.2">
      <c r="C118" s="157"/>
      <c r="D118" s="157"/>
      <c r="E118" s="157"/>
      <c r="F118" s="157"/>
      <c r="G118" s="157"/>
      <c r="H118" s="157"/>
    </row>
    <row r="119" spans="3:8" ht="15.75" customHeight="1" x14ac:dyDescent="0.2">
      <c r="C119" s="157"/>
      <c r="D119" s="157"/>
      <c r="E119" s="157"/>
      <c r="F119" s="157"/>
      <c r="G119" s="157"/>
      <c r="H119" s="157"/>
    </row>
    <row r="120" spans="3:8" ht="15.75" customHeight="1" x14ac:dyDescent="0.2">
      <c r="C120" s="157"/>
      <c r="D120" s="157"/>
      <c r="E120" s="157"/>
      <c r="F120" s="157"/>
      <c r="G120" s="157"/>
      <c r="H120" s="157"/>
    </row>
    <row r="121" spans="3:8" ht="15.75" customHeight="1" x14ac:dyDescent="0.2">
      <c r="C121" s="157"/>
      <c r="D121" s="157"/>
      <c r="E121" s="157"/>
      <c r="F121" s="157"/>
      <c r="G121" s="157"/>
      <c r="H121" s="157"/>
    </row>
    <row r="122" spans="3:8" ht="15.75" customHeight="1" x14ac:dyDescent="0.2">
      <c r="C122" s="157"/>
      <c r="D122" s="157"/>
      <c r="E122" s="157"/>
      <c r="F122" s="157"/>
      <c r="G122" s="157"/>
      <c r="H122" s="157"/>
    </row>
    <row r="123" spans="3:8" ht="15.75" customHeight="1" x14ac:dyDescent="0.2">
      <c r="C123" s="157"/>
      <c r="D123" s="157"/>
      <c r="E123" s="157"/>
      <c r="F123" s="157"/>
      <c r="G123" s="157"/>
      <c r="H123" s="157"/>
    </row>
    <row r="124" spans="3:8" ht="15.75" customHeight="1" x14ac:dyDescent="0.2">
      <c r="C124" s="157"/>
      <c r="D124" s="157"/>
      <c r="E124" s="157"/>
      <c r="F124" s="157"/>
      <c r="G124" s="157"/>
      <c r="H124" s="157"/>
    </row>
    <row r="125" spans="3:8" ht="15.75" customHeight="1" x14ac:dyDescent="0.2">
      <c r="C125" s="157"/>
      <c r="D125" s="157"/>
      <c r="E125" s="157"/>
      <c r="F125" s="157"/>
      <c r="G125" s="157"/>
      <c r="H125" s="157"/>
    </row>
    <row r="126" spans="3:8" ht="15.75" customHeight="1" x14ac:dyDescent="0.2">
      <c r="C126" s="157"/>
      <c r="D126" s="157"/>
      <c r="E126" s="157"/>
      <c r="F126" s="157"/>
      <c r="G126" s="157"/>
      <c r="H126" s="157"/>
    </row>
    <row r="127" spans="3:8" ht="15.75" customHeight="1" x14ac:dyDescent="0.2">
      <c r="C127" s="157"/>
      <c r="D127" s="157"/>
      <c r="E127" s="157"/>
      <c r="F127" s="157"/>
      <c r="G127" s="157"/>
      <c r="H127" s="157"/>
    </row>
    <row r="128" spans="3:8" ht="15.75" customHeight="1" x14ac:dyDescent="0.2">
      <c r="C128" s="157"/>
      <c r="D128" s="157"/>
      <c r="E128" s="157"/>
      <c r="F128" s="157"/>
      <c r="G128" s="157"/>
      <c r="H128" s="157"/>
    </row>
    <row r="129" spans="3:8" ht="15.75" customHeight="1" x14ac:dyDescent="0.2">
      <c r="C129" s="157"/>
      <c r="D129" s="157"/>
      <c r="E129" s="157"/>
      <c r="F129" s="157"/>
      <c r="G129" s="157"/>
      <c r="H129" s="157"/>
    </row>
    <row r="130" spans="3:8" ht="15.75" customHeight="1" x14ac:dyDescent="0.2">
      <c r="C130" s="157"/>
      <c r="D130" s="157"/>
      <c r="E130" s="157"/>
      <c r="F130" s="157"/>
      <c r="G130" s="157"/>
      <c r="H130" s="157"/>
    </row>
    <row r="131" spans="3:8" ht="15.75" customHeight="1" x14ac:dyDescent="0.2">
      <c r="C131" s="157"/>
      <c r="D131" s="157"/>
      <c r="E131" s="157"/>
      <c r="F131" s="157"/>
      <c r="G131" s="157"/>
      <c r="H131" s="157"/>
    </row>
    <row r="132" spans="3:8" ht="15.75" customHeight="1" x14ac:dyDescent="0.2">
      <c r="C132" s="157"/>
      <c r="D132" s="157"/>
      <c r="E132" s="157"/>
      <c r="F132" s="157"/>
      <c r="G132" s="157"/>
      <c r="H132" s="157"/>
    </row>
    <row r="133" spans="3:8" ht="15.75" customHeight="1" x14ac:dyDescent="0.2">
      <c r="C133" s="157"/>
      <c r="D133" s="157"/>
      <c r="E133" s="157"/>
      <c r="F133" s="157"/>
      <c r="G133" s="157"/>
      <c r="H133" s="157"/>
    </row>
    <row r="134" spans="3:8" ht="15.75" customHeight="1" x14ac:dyDescent="0.2">
      <c r="C134" s="157"/>
      <c r="D134" s="157"/>
      <c r="E134" s="157"/>
      <c r="F134" s="157"/>
      <c r="G134" s="157"/>
      <c r="H134" s="157"/>
    </row>
    <row r="135" spans="3:8" ht="15.75" customHeight="1" x14ac:dyDescent="0.2">
      <c r="C135" s="157"/>
      <c r="D135" s="157"/>
      <c r="E135" s="157"/>
      <c r="F135" s="157"/>
      <c r="G135" s="157"/>
      <c r="H135" s="157"/>
    </row>
    <row r="136" spans="3:8" ht="15.75" customHeight="1" x14ac:dyDescent="0.2">
      <c r="C136" s="157"/>
      <c r="D136" s="157"/>
      <c r="E136" s="157"/>
      <c r="F136" s="157"/>
      <c r="G136" s="157"/>
      <c r="H136" s="157"/>
    </row>
    <row r="137" spans="3:8" ht="15.75" customHeight="1" x14ac:dyDescent="0.2">
      <c r="C137" s="157"/>
      <c r="D137" s="157"/>
      <c r="E137" s="157"/>
      <c r="F137" s="157"/>
      <c r="G137" s="157"/>
      <c r="H137" s="157"/>
    </row>
    <row r="138" spans="3:8" ht="15.75" customHeight="1" x14ac:dyDescent="0.2">
      <c r="C138" s="157"/>
      <c r="D138" s="157"/>
      <c r="E138" s="157"/>
      <c r="F138" s="157"/>
      <c r="G138" s="157"/>
      <c r="H138" s="157"/>
    </row>
    <row r="139" spans="3:8" ht="15.75" customHeight="1" x14ac:dyDescent="0.2">
      <c r="C139" s="157"/>
      <c r="D139" s="157"/>
      <c r="E139" s="157"/>
      <c r="F139" s="157"/>
      <c r="G139" s="157"/>
      <c r="H139" s="157"/>
    </row>
    <row r="140" spans="3:8" ht="15.75" customHeight="1" x14ac:dyDescent="0.2">
      <c r="C140" s="157"/>
      <c r="D140" s="157"/>
      <c r="E140" s="157"/>
      <c r="F140" s="157"/>
      <c r="G140" s="157"/>
      <c r="H140" s="157"/>
    </row>
    <row r="141" spans="3:8" ht="15.75" customHeight="1" x14ac:dyDescent="0.2">
      <c r="C141" s="157"/>
      <c r="D141" s="157"/>
      <c r="E141" s="157"/>
      <c r="F141" s="157"/>
      <c r="G141" s="157"/>
      <c r="H141" s="157"/>
    </row>
    <row r="142" spans="3:8" ht="15.75" customHeight="1" x14ac:dyDescent="0.2">
      <c r="C142" s="157"/>
      <c r="D142" s="157"/>
      <c r="E142" s="157"/>
      <c r="F142" s="157"/>
      <c r="G142" s="157"/>
      <c r="H142" s="157"/>
    </row>
    <row r="143" spans="3:8" ht="15.75" customHeight="1" x14ac:dyDescent="0.2">
      <c r="C143" s="157"/>
      <c r="D143" s="157"/>
      <c r="E143" s="157"/>
      <c r="F143" s="157"/>
      <c r="G143" s="157"/>
      <c r="H143" s="157"/>
    </row>
    <row r="144" spans="3:8" ht="15.75" customHeight="1" x14ac:dyDescent="0.2">
      <c r="C144" s="157"/>
      <c r="D144" s="157"/>
      <c r="E144" s="157"/>
      <c r="F144" s="157"/>
      <c r="G144" s="157"/>
      <c r="H144" s="157"/>
    </row>
    <row r="145" spans="3:8" ht="15.75" customHeight="1" x14ac:dyDescent="0.2">
      <c r="C145" s="157"/>
      <c r="D145" s="157"/>
      <c r="E145" s="157"/>
      <c r="F145" s="157"/>
      <c r="G145" s="157"/>
      <c r="H145" s="157"/>
    </row>
    <row r="146" spans="3:8" ht="15.75" customHeight="1" x14ac:dyDescent="0.2">
      <c r="C146" s="157"/>
      <c r="D146" s="157"/>
      <c r="E146" s="157"/>
      <c r="F146" s="157"/>
      <c r="G146" s="157"/>
      <c r="H146" s="157"/>
    </row>
    <row r="147" spans="3:8" ht="15.75" customHeight="1" x14ac:dyDescent="0.2">
      <c r="C147" s="157"/>
      <c r="D147" s="157"/>
      <c r="E147" s="157"/>
      <c r="F147" s="157"/>
      <c r="G147" s="157"/>
      <c r="H147" s="157"/>
    </row>
    <row r="148" spans="3:8" ht="15.75" customHeight="1" x14ac:dyDescent="0.2">
      <c r="C148" s="157"/>
      <c r="D148" s="157"/>
      <c r="E148" s="157"/>
      <c r="F148" s="157"/>
      <c r="G148" s="157"/>
      <c r="H148" s="157"/>
    </row>
    <row r="149" spans="3:8" ht="15.75" customHeight="1" x14ac:dyDescent="0.2">
      <c r="C149" s="157"/>
      <c r="D149" s="157"/>
      <c r="E149" s="157"/>
      <c r="F149" s="157"/>
      <c r="G149" s="157"/>
      <c r="H149" s="157"/>
    </row>
    <row r="150" spans="3:8" ht="15.75" customHeight="1" x14ac:dyDescent="0.2">
      <c r="C150" s="157"/>
      <c r="D150" s="157"/>
      <c r="E150" s="157"/>
      <c r="F150" s="157"/>
      <c r="G150" s="157"/>
      <c r="H150" s="157"/>
    </row>
    <row r="151" spans="3:8" ht="15.75" customHeight="1" x14ac:dyDescent="0.2">
      <c r="C151" s="157"/>
      <c r="D151" s="157"/>
      <c r="E151" s="157"/>
      <c r="F151" s="157"/>
      <c r="G151" s="157"/>
      <c r="H151" s="157"/>
    </row>
    <row r="152" spans="3:8" ht="15.75" customHeight="1" x14ac:dyDescent="0.2">
      <c r="C152" s="157"/>
      <c r="D152" s="157"/>
      <c r="E152" s="157"/>
      <c r="F152" s="157"/>
      <c r="G152" s="157"/>
      <c r="H152" s="157"/>
    </row>
    <row r="153" spans="3:8" ht="15.75" customHeight="1" x14ac:dyDescent="0.2">
      <c r="C153" s="157"/>
      <c r="D153" s="157"/>
      <c r="E153" s="157"/>
      <c r="F153" s="157"/>
      <c r="G153" s="157"/>
      <c r="H153" s="157"/>
    </row>
    <row r="154" spans="3:8" ht="15.75" customHeight="1" x14ac:dyDescent="0.2">
      <c r="C154" s="157"/>
      <c r="D154" s="157"/>
      <c r="E154" s="157"/>
      <c r="F154" s="157"/>
      <c r="G154" s="157"/>
      <c r="H154" s="157"/>
    </row>
    <row r="155" spans="3:8" ht="15.75" customHeight="1" x14ac:dyDescent="0.2">
      <c r="C155" s="157"/>
      <c r="D155" s="157"/>
      <c r="E155" s="157"/>
      <c r="F155" s="157"/>
      <c r="G155" s="157"/>
      <c r="H155" s="157"/>
    </row>
    <row r="156" spans="3:8" ht="15.75" customHeight="1" x14ac:dyDescent="0.2">
      <c r="C156" s="157"/>
      <c r="D156" s="157"/>
      <c r="E156" s="157"/>
      <c r="F156" s="157"/>
      <c r="G156" s="157"/>
      <c r="H156" s="157"/>
    </row>
    <row r="157" spans="3:8" ht="15.75" customHeight="1" x14ac:dyDescent="0.2">
      <c r="C157" s="157"/>
      <c r="D157" s="157"/>
      <c r="E157" s="157"/>
      <c r="F157" s="157"/>
      <c r="G157" s="157"/>
      <c r="H157" s="157"/>
    </row>
    <row r="158" spans="3:8" ht="15.75" customHeight="1" x14ac:dyDescent="0.2">
      <c r="C158" s="157"/>
      <c r="D158" s="157"/>
      <c r="E158" s="157"/>
      <c r="F158" s="157"/>
      <c r="G158" s="157"/>
      <c r="H158" s="157"/>
    </row>
    <row r="159" spans="3:8" ht="15.75" customHeight="1" x14ac:dyDescent="0.2">
      <c r="C159" s="157"/>
      <c r="D159" s="157"/>
      <c r="E159" s="157"/>
      <c r="F159" s="157"/>
      <c r="G159" s="157"/>
      <c r="H159" s="157"/>
    </row>
    <row r="160" spans="3:8" ht="15.75" customHeight="1" x14ac:dyDescent="0.2">
      <c r="C160" s="157"/>
      <c r="D160" s="157"/>
      <c r="E160" s="157"/>
      <c r="F160" s="157"/>
      <c r="G160" s="157"/>
      <c r="H160" s="157"/>
    </row>
    <row r="161" spans="3:8" ht="15.75" customHeight="1" x14ac:dyDescent="0.2">
      <c r="C161" s="157"/>
      <c r="D161" s="157"/>
      <c r="E161" s="157"/>
      <c r="F161" s="157"/>
      <c r="G161" s="157"/>
      <c r="H161" s="157"/>
    </row>
    <row r="162" spans="3:8" ht="15.75" customHeight="1" x14ac:dyDescent="0.2">
      <c r="C162" s="157"/>
      <c r="D162" s="157"/>
      <c r="E162" s="157"/>
      <c r="F162" s="157"/>
      <c r="G162" s="157"/>
      <c r="H162" s="157"/>
    </row>
    <row r="163" spans="3:8" ht="15.75" customHeight="1" x14ac:dyDescent="0.2">
      <c r="C163" s="157"/>
      <c r="D163" s="157"/>
      <c r="E163" s="157"/>
      <c r="F163" s="157"/>
      <c r="G163" s="157"/>
      <c r="H163" s="157"/>
    </row>
    <row r="164" spans="3:8" ht="15.75" customHeight="1" x14ac:dyDescent="0.2">
      <c r="C164" s="157"/>
      <c r="D164" s="157"/>
      <c r="E164" s="157"/>
      <c r="F164" s="157"/>
      <c r="G164" s="157"/>
      <c r="H164" s="157"/>
    </row>
    <row r="165" spans="3:8" ht="15.75" customHeight="1" x14ac:dyDescent="0.2">
      <c r="C165" s="157"/>
      <c r="D165" s="157"/>
      <c r="E165" s="157"/>
      <c r="F165" s="157"/>
      <c r="G165" s="157"/>
      <c r="H165" s="157"/>
    </row>
    <row r="166" spans="3:8" ht="15.75" customHeight="1" x14ac:dyDescent="0.2">
      <c r="C166" s="157"/>
      <c r="D166" s="157"/>
      <c r="E166" s="157"/>
      <c r="F166" s="157"/>
      <c r="G166" s="157"/>
      <c r="H166" s="157"/>
    </row>
    <row r="167" spans="3:8" ht="15.75" customHeight="1" x14ac:dyDescent="0.2">
      <c r="C167" s="157"/>
      <c r="D167" s="157"/>
      <c r="E167" s="157"/>
      <c r="F167" s="157"/>
      <c r="G167" s="157"/>
      <c r="H167" s="157"/>
    </row>
    <row r="168" spans="3:8" ht="15.75" customHeight="1" x14ac:dyDescent="0.2">
      <c r="C168" s="157"/>
      <c r="D168" s="157"/>
      <c r="E168" s="157"/>
      <c r="F168" s="157"/>
      <c r="G168" s="157"/>
      <c r="H168" s="157"/>
    </row>
    <row r="169" spans="3:8" ht="15.75" customHeight="1" x14ac:dyDescent="0.2">
      <c r="C169" s="157"/>
      <c r="D169" s="157"/>
      <c r="E169" s="157"/>
      <c r="F169" s="157"/>
      <c r="G169" s="157"/>
      <c r="H169" s="157"/>
    </row>
    <row r="170" spans="3:8" ht="15.75" customHeight="1" x14ac:dyDescent="0.2">
      <c r="C170" s="157"/>
      <c r="D170" s="157"/>
      <c r="E170" s="157"/>
      <c r="F170" s="157"/>
      <c r="G170" s="157"/>
      <c r="H170" s="157"/>
    </row>
    <row r="171" spans="3:8" ht="15.75" customHeight="1" x14ac:dyDescent="0.2">
      <c r="C171" s="157"/>
      <c r="D171" s="157"/>
      <c r="E171" s="157"/>
      <c r="F171" s="157"/>
      <c r="G171" s="157"/>
      <c r="H171" s="157"/>
    </row>
    <row r="172" spans="3:8" ht="15.75" customHeight="1" x14ac:dyDescent="0.2">
      <c r="C172" s="157"/>
      <c r="D172" s="157"/>
      <c r="E172" s="157"/>
      <c r="F172" s="157"/>
      <c r="G172" s="157"/>
      <c r="H172" s="157"/>
    </row>
    <row r="173" spans="3:8" ht="15.75" customHeight="1" x14ac:dyDescent="0.2">
      <c r="C173" s="157"/>
      <c r="D173" s="157"/>
      <c r="E173" s="157"/>
      <c r="F173" s="157"/>
      <c r="G173" s="157"/>
      <c r="H173" s="157"/>
    </row>
    <row r="174" spans="3:8" ht="15.75" customHeight="1" x14ac:dyDescent="0.2">
      <c r="C174" s="157"/>
      <c r="D174" s="157"/>
      <c r="E174" s="157"/>
      <c r="F174" s="157"/>
      <c r="G174" s="157"/>
      <c r="H174" s="157"/>
    </row>
    <row r="175" spans="3:8" ht="15.75" customHeight="1" x14ac:dyDescent="0.2">
      <c r="C175" s="157"/>
      <c r="D175" s="157"/>
      <c r="E175" s="157"/>
      <c r="F175" s="157"/>
      <c r="G175" s="157"/>
      <c r="H175" s="157"/>
    </row>
    <row r="176" spans="3:8" ht="15.75" customHeight="1" x14ac:dyDescent="0.2">
      <c r="C176" s="157"/>
      <c r="D176" s="157"/>
      <c r="E176" s="157"/>
      <c r="F176" s="157"/>
      <c r="G176" s="157"/>
      <c r="H176" s="157"/>
    </row>
    <row r="177" spans="3:8" ht="15.75" customHeight="1" x14ac:dyDescent="0.2">
      <c r="C177" s="157"/>
      <c r="D177" s="157"/>
      <c r="E177" s="157"/>
      <c r="F177" s="157"/>
      <c r="G177" s="157"/>
      <c r="H177" s="157"/>
    </row>
    <row r="178" spans="3:8" ht="15.75" customHeight="1" x14ac:dyDescent="0.2">
      <c r="C178" s="157"/>
      <c r="D178" s="157"/>
      <c r="E178" s="157"/>
      <c r="F178" s="157"/>
      <c r="G178" s="157"/>
      <c r="H178" s="157"/>
    </row>
    <row r="179" spans="3:8" ht="15.75" customHeight="1" x14ac:dyDescent="0.2">
      <c r="C179" s="157"/>
      <c r="D179" s="157"/>
      <c r="E179" s="157"/>
      <c r="F179" s="157"/>
      <c r="G179" s="157"/>
      <c r="H179" s="157"/>
    </row>
    <row r="180" spans="3:8" ht="15.75" customHeight="1" x14ac:dyDescent="0.2">
      <c r="C180" s="157"/>
      <c r="D180" s="157"/>
      <c r="E180" s="157"/>
      <c r="F180" s="157"/>
      <c r="G180" s="157"/>
      <c r="H180" s="157"/>
    </row>
    <row r="181" spans="3:8" ht="15.75" customHeight="1" x14ac:dyDescent="0.2">
      <c r="C181" s="157"/>
      <c r="D181" s="157"/>
      <c r="E181" s="157"/>
      <c r="F181" s="157"/>
      <c r="G181" s="157"/>
      <c r="H181" s="157"/>
    </row>
    <row r="182" spans="3:8" ht="15.75" customHeight="1" x14ac:dyDescent="0.2">
      <c r="C182" s="157"/>
      <c r="D182" s="157"/>
      <c r="E182" s="157"/>
      <c r="F182" s="157"/>
      <c r="G182" s="157"/>
      <c r="H182" s="157"/>
    </row>
    <row r="183" spans="3:8" ht="15.75" customHeight="1" x14ac:dyDescent="0.2">
      <c r="C183" s="157"/>
      <c r="D183" s="157"/>
      <c r="E183" s="157"/>
      <c r="F183" s="157"/>
      <c r="G183" s="157"/>
      <c r="H183" s="157"/>
    </row>
    <row r="184" spans="3:8" ht="15.75" customHeight="1" x14ac:dyDescent="0.2">
      <c r="C184" s="157"/>
      <c r="D184" s="157"/>
      <c r="E184" s="157"/>
      <c r="F184" s="157"/>
      <c r="G184" s="157"/>
      <c r="H184" s="157"/>
    </row>
    <row r="185" spans="3:8" ht="15.75" customHeight="1" x14ac:dyDescent="0.2">
      <c r="C185" s="157"/>
      <c r="D185" s="157"/>
      <c r="E185" s="157"/>
      <c r="F185" s="157"/>
      <c r="G185" s="157"/>
      <c r="H185" s="157"/>
    </row>
    <row r="186" spans="3:8" ht="15.75" customHeight="1" x14ac:dyDescent="0.2">
      <c r="C186" s="157"/>
      <c r="D186" s="157"/>
      <c r="E186" s="157"/>
      <c r="F186" s="157"/>
      <c r="G186" s="157"/>
      <c r="H186" s="157"/>
    </row>
    <row r="187" spans="3:8" ht="15.75" customHeight="1" x14ac:dyDescent="0.2">
      <c r="C187" s="157"/>
      <c r="D187" s="157"/>
      <c r="E187" s="157"/>
      <c r="F187" s="157"/>
      <c r="G187" s="157"/>
      <c r="H187" s="157"/>
    </row>
    <row r="188" spans="3:8" ht="15.75" customHeight="1" x14ac:dyDescent="0.2">
      <c r="C188" s="157"/>
      <c r="D188" s="157"/>
      <c r="E188" s="157"/>
      <c r="F188" s="157"/>
      <c r="G188" s="157"/>
      <c r="H188" s="157"/>
    </row>
    <row r="189" spans="3:8" ht="15.75" customHeight="1" x14ac:dyDescent="0.2">
      <c r="C189" s="157"/>
      <c r="D189" s="157"/>
      <c r="E189" s="157"/>
      <c r="F189" s="157"/>
      <c r="G189" s="157"/>
      <c r="H189" s="157"/>
    </row>
    <row r="190" spans="3:8" ht="15.75" customHeight="1" x14ac:dyDescent="0.2">
      <c r="C190" s="157"/>
      <c r="D190" s="157"/>
      <c r="E190" s="157"/>
      <c r="F190" s="157"/>
      <c r="G190" s="157"/>
      <c r="H190" s="157"/>
    </row>
    <row r="191" spans="3:8" ht="15.75" customHeight="1" x14ac:dyDescent="0.2">
      <c r="C191" s="157"/>
      <c r="D191" s="157"/>
      <c r="E191" s="157"/>
      <c r="F191" s="157"/>
      <c r="G191" s="157"/>
      <c r="H191" s="157"/>
    </row>
    <row r="192" spans="3:8" ht="15.75" customHeight="1" x14ac:dyDescent="0.2">
      <c r="C192" s="157"/>
      <c r="D192" s="157"/>
      <c r="E192" s="157"/>
      <c r="F192" s="157"/>
      <c r="G192" s="157"/>
      <c r="H192" s="157"/>
    </row>
    <row r="193" spans="3:8" ht="15.75" customHeight="1" x14ac:dyDescent="0.2">
      <c r="C193" s="157"/>
      <c r="D193" s="157"/>
      <c r="E193" s="157"/>
      <c r="F193" s="157"/>
      <c r="G193" s="157"/>
      <c r="H193" s="157"/>
    </row>
    <row r="194" spans="3:8" ht="15.75" customHeight="1" x14ac:dyDescent="0.2">
      <c r="C194" s="157"/>
      <c r="D194" s="157"/>
      <c r="E194" s="157"/>
      <c r="F194" s="157"/>
      <c r="G194" s="157"/>
      <c r="H194" s="157"/>
    </row>
    <row r="195" spans="3:8" ht="15.75" customHeight="1" x14ac:dyDescent="0.2">
      <c r="C195" s="157"/>
      <c r="D195" s="157"/>
      <c r="E195" s="157"/>
      <c r="F195" s="157"/>
      <c r="G195" s="157"/>
      <c r="H195" s="157"/>
    </row>
    <row r="196" spans="3:8" ht="15.75" customHeight="1" x14ac:dyDescent="0.2">
      <c r="C196" s="157"/>
      <c r="D196" s="157"/>
      <c r="E196" s="157"/>
      <c r="F196" s="157"/>
      <c r="G196" s="157"/>
      <c r="H196" s="157"/>
    </row>
    <row r="197" spans="3:8" ht="15.75" customHeight="1" x14ac:dyDescent="0.2">
      <c r="C197" s="157"/>
      <c r="D197" s="157"/>
      <c r="E197" s="157"/>
      <c r="F197" s="157"/>
      <c r="G197" s="157"/>
      <c r="H197" s="157"/>
    </row>
    <row r="198" spans="3:8" ht="15.75" customHeight="1" x14ac:dyDescent="0.2">
      <c r="C198" s="157"/>
      <c r="D198" s="157"/>
      <c r="E198" s="157"/>
      <c r="F198" s="157"/>
      <c r="G198" s="157"/>
      <c r="H198" s="157"/>
    </row>
    <row r="199" spans="3:8" ht="15.75" customHeight="1" x14ac:dyDescent="0.2">
      <c r="C199" s="157"/>
      <c r="D199" s="157"/>
      <c r="E199" s="157"/>
      <c r="F199" s="157"/>
      <c r="G199" s="157"/>
      <c r="H199" s="157"/>
    </row>
    <row r="200" spans="3:8" ht="15.75" customHeight="1" x14ac:dyDescent="0.2">
      <c r="C200" s="157"/>
      <c r="D200" s="157"/>
      <c r="E200" s="157"/>
      <c r="F200" s="157"/>
      <c r="G200" s="157"/>
      <c r="H200" s="157"/>
    </row>
    <row r="201" spans="3:8" ht="15.75" customHeight="1" x14ac:dyDescent="0.2">
      <c r="C201" s="157"/>
      <c r="D201" s="157"/>
      <c r="E201" s="157"/>
      <c r="F201" s="157"/>
      <c r="G201" s="157"/>
      <c r="H201" s="157"/>
    </row>
    <row r="202" spans="3:8" ht="15.75" customHeight="1" x14ac:dyDescent="0.2">
      <c r="C202" s="157"/>
      <c r="D202" s="157"/>
      <c r="E202" s="157"/>
      <c r="F202" s="157"/>
      <c r="G202" s="157"/>
      <c r="H202" s="157"/>
    </row>
    <row r="203" spans="3:8" ht="15.75" customHeight="1" x14ac:dyDescent="0.2">
      <c r="C203" s="157"/>
      <c r="D203" s="157"/>
      <c r="E203" s="157"/>
      <c r="F203" s="157"/>
      <c r="G203" s="157"/>
      <c r="H203" s="157"/>
    </row>
    <row r="204" spans="3:8" ht="15.75" customHeight="1" x14ac:dyDescent="0.2">
      <c r="C204" s="157"/>
      <c r="D204" s="157"/>
      <c r="E204" s="157"/>
      <c r="F204" s="157"/>
      <c r="G204" s="157"/>
      <c r="H204" s="157"/>
    </row>
    <row r="205" spans="3:8" ht="15.75" customHeight="1" x14ac:dyDescent="0.2">
      <c r="C205" s="157"/>
      <c r="D205" s="157"/>
      <c r="E205" s="157"/>
      <c r="F205" s="157"/>
      <c r="G205" s="157"/>
      <c r="H205" s="157"/>
    </row>
    <row r="206" spans="3:8" ht="15.75" customHeight="1" x14ac:dyDescent="0.2">
      <c r="C206" s="157"/>
      <c r="D206" s="157"/>
      <c r="E206" s="157"/>
      <c r="F206" s="157"/>
      <c r="G206" s="157"/>
      <c r="H206" s="157"/>
    </row>
    <row r="207" spans="3:8" ht="15.75" customHeight="1" x14ac:dyDescent="0.2">
      <c r="C207" s="157"/>
      <c r="D207" s="157"/>
      <c r="E207" s="157"/>
      <c r="F207" s="157"/>
      <c r="G207" s="157"/>
      <c r="H207" s="157"/>
    </row>
    <row r="208" spans="3:8" ht="15.75" customHeight="1" x14ac:dyDescent="0.2">
      <c r="C208" s="157"/>
      <c r="D208" s="157"/>
      <c r="E208" s="157"/>
      <c r="F208" s="157"/>
      <c r="G208" s="157"/>
      <c r="H208" s="157"/>
    </row>
    <row r="209" spans="3:8" ht="15.75" customHeight="1" x14ac:dyDescent="0.2">
      <c r="C209" s="157"/>
      <c r="D209" s="157"/>
      <c r="E209" s="157"/>
      <c r="F209" s="157"/>
      <c r="G209" s="157"/>
      <c r="H209" s="157"/>
    </row>
    <row r="210" spans="3:8" ht="15.75" customHeight="1" x14ac:dyDescent="0.2">
      <c r="C210" s="157"/>
      <c r="D210" s="157"/>
      <c r="E210" s="157"/>
      <c r="F210" s="157"/>
      <c r="G210" s="157"/>
      <c r="H210" s="157"/>
    </row>
    <row r="211" spans="3:8" ht="15.75" customHeight="1" x14ac:dyDescent="0.2">
      <c r="C211" s="157"/>
      <c r="D211" s="157"/>
      <c r="E211" s="157"/>
      <c r="F211" s="157"/>
      <c r="G211" s="157"/>
      <c r="H211" s="157"/>
    </row>
    <row r="212" spans="3:8" ht="15.75" customHeight="1" x14ac:dyDescent="0.2">
      <c r="C212" s="157"/>
      <c r="D212" s="157"/>
      <c r="E212" s="157"/>
      <c r="F212" s="157"/>
      <c r="G212" s="157"/>
      <c r="H212" s="157"/>
    </row>
    <row r="213" spans="3:8" ht="15.75" customHeight="1" x14ac:dyDescent="0.2">
      <c r="C213" s="157"/>
      <c r="D213" s="157"/>
      <c r="E213" s="157"/>
      <c r="F213" s="157"/>
      <c r="G213" s="157"/>
      <c r="H213" s="157"/>
    </row>
    <row r="214" spans="3:8" ht="15.75" customHeight="1" x14ac:dyDescent="0.2">
      <c r="C214" s="157"/>
      <c r="D214" s="157"/>
      <c r="E214" s="157"/>
      <c r="F214" s="157"/>
      <c r="G214" s="157"/>
      <c r="H214" s="157"/>
    </row>
    <row r="215" spans="3:8" ht="15.75" customHeight="1" x14ac:dyDescent="0.2">
      <c r="C215" s="157"/>
      <c r="D215" s="157"/>
      <c r="E215" s="157"/>
      <c r="F215" s="157"/>
      <c r="G215" s="157"/>
      <c r="H215" s="157"/>
    </row>
    <row r="216" spans="3:8" ht="15.75" customHeight="1" x14ac:dyDescent="0.2">
      <c r="C216" s="157"/>
      <c r="D216" s="157"/>
      <c r="E216" s="157"/>
      <c r="F216" s="157"/>
      <c r="G216" s="157"/>
      <c r="H216" s="157"/>
    </row>
    <row r="217" spans="3:8" ht="15.75" customHeight="1" x14ac:dyDescent="0.2">
      <c r="C217" s="157"/>
      <c r="D217" s="157"/>
      <c r="E217" s="157"/>
      <c r="F217" s="157"/>
      <c r="G217" s="157"/>
      <c r="H217" s="157"/>
    </row>
    <row r="218" spans="3:8" ht="15.75" customHeight="1" x14ac:dyDescent="0.2">
      <c r="C218" s="157"/>
      <c r="D218" s="157"/>
      <c r="E218" s="157"/>
      <c r="F218" s="157"/>
      <c r="G218" s="157"/>
      <c r="H218" s="157"/>
    </row>
    <row r="219" spans="3:8" ht="15.75" customHeight="1" x14ac:dyDescent="0.2">
      <c r="C219" s="157"/>
      <c r="D219" s="157"/>
      <c r="E219" s="157"/>
      <c r="F219" s="157"/>
      <c r="G219" s="157"/>
      <c r="H219" s="157"/>
    </row>
    <row r="220" spans="3:8" ht="15.75" customHeight="1" x14ac:dyDescent="0.2">
      <c r="C220" s="157"/>
      <c r="D220" s="157"/>
      <c r="E220" s="157"/>
      <c r="F220" s="157"/>
      <c r="G220" s="157"/>
      <c r="H220" s="157"/>
    </row>
    <row r="221" spans="3:8" ht="15.75" customHeight="1" x14ac:dyDescent="0.2">
      <c r="C221" s="157"/>
      <c r="D221" s="157"/>
      <c r="E221" s="157"/>
      <c r="F221" s="157"/>
      <c r="G221" s="157"/>
      <c r="H221" s="157"/>
    </row>
    <row r="222" spans="3:8" ht="15.75" customHeight="1" x14ac:dyDescent="0.2">
      <c r="C222" s="157"/>
      <c r="D222" s="157"/>
      <c r="E222" s="157"/>
      <c r="F222" s="157"/>
      <c r="G222" s="157"/>
      <c r="H222" s="157"/>
    </row>
    <row r="223" spans="3:8" ht="15.75" customHeight="1" x14ac:dyDescent="0.2">
      <c r="C223" s="157"/>
      <c r="D223" s="157"/>
      <c r="E223" s="157"/>
      <c r="F223" s="157"/>
      <c r="G223" s="157"/>
      <c r="H223" s="157"/>
    </row>
    <row r="224" spans="3:8" ht="15.75" customHeight="1" x14ac:dyDescent="0.2">
      <c r="C224" s="157"/>
      <c r="D224" s="157"/>
      <c r="E224" s="157"/>
      <c r="F224" s="157"/>
      <c r="G224" s="157"/>
      <c r="H224" s="157"/>
    </row>
    <row r="225" spans="3:8" ht="15.75" customHeight="1" x14ac:dyDescent="0.2">
      <c r="C225" s="157"/>
      <c r="D225" s="157"/>
      <c r="E225" s="157"/>
      <c r="F225" s="157"/>
      <c r="G225" s="157"/>
      <c r="H225" s="157"/>
    </row>
    <row r="226" spans="3:8" ht="15.75" customHeight="1" x14ac:dyDescent="0.2">
      <c r="C226" s="157"/>
      <c r="D226" s="157"/>
      <c r="E226" s="157"/>
      <c r="F226" s="157"/>
      <c r="G226" s="157"/>
      <c r="H226" s="157"/>
    </row>
    <row r="227" spans="3:8" ht="15.75" customHeight="1" x14ac:dyDescent="0.2">
      <c r="C227" s="157"/>
      <c r="D227" s="157"/>
      <c r="E227" s="157"/>
      <c r="F227" s="157"/>
      <c r="G227" s="157"/>
      <c r="H227" s="157"/>
    </row>
    <row r="228" spans="3:8" ht="15.75" customHeight="1" x14ac:dyDescent="0.2">
      <c r="C228" s="157"/>
      <c r="D228" s="157"/>
      <c r="E228" s="157"/>
      <c r="F228" s="157"/>
      <c r="G228" s="157"/>
      <c r="H228" s="157"/>
    </row>
    <row r="229" spans="3:8" ht="15.75" customHeight="1" x14ac:dyDescent="0.2">
      <c r="C229" s="157"/>
      <c r="D229" s="157"/>
      <c r="E229" s="157"/>
      <c r="F229" s="157"/>
      <c r="G229" s="157"/>
      <c r="H229" s="157"/>
    </row>
    <row r="230" spans="3:8" ht="15.75" customHeight="1" x14ac:dyDescent="0.2">
      <c r="C230" s="157"/>
      <c r="D230" s="157"/>
      <c r="E230" s="157"/>
      <c r="F230" s="157"/>
      <c r="G230" s="157"/>
      <c r="H230" s="157"/>
    </row>
    <row r="231" spans="3:8" ht="15.75" customHeight="1" x14ac:dyDescent="0.2">
      <c r="C231" s="157"/>
      <c r="D231" s="157"/>
      <c r="E231" s="157"/>
      <c r="F231" s="157"/>
      <c r="G231" s="157"/>
      <c r="H231" s="157"/>
    </row>
    <row r="232" spans="3:8" ht="15.75" customHeight="1" x14ac:dyDescent="0.2">
      <c r="C232" s="157"/>
      <c r="D232" s="157"/>
      <c r="E232" s="157"/>
      <c r="F232" s="157"/>
      <c r="G232" s="157"/>
      <c r="H232" s="157"/>
    </row>
    <row r="233" spans="3:8" ht="15.75" customHeight="1" x14ac:dyDescent="0.2">
      <c r="C233" s="157"/>
      <c r="D233" s="157"/>
      <c r="E233" s="157"/>
      <c r="F233" s="157"/>
      <c r="G233" s="157"/>
      <c r="H233" s="157"/>
    </row>
    <row r="234" spans="3:8" ht="15.75" customHeight="1" x14ac:dyDescent="0.2">
      <c r="C234" s="157"/>
      <c r="D234" s="157"/>
      <c r="E234" s="157"/>
      <c r="F234" s="157"/>
      <c r="G234" s="157"/>
      <c r="H234" s="157"/>
    </row>
    <row r="235" spans="3:8" ht="15.75" customHeight="1" x14ac:dyDescent="0.2">
      <c r="C235" s="157"/>
      <c r="D235" s="157"/>
      <c r="E235" s="157"/>
      <c r="F235" s="157"/>
      <c r="G235" s="157"/>
      <c r="H235" s="157"/>
    </row>
    <row r="236" spans="3:8" ht="15.75" customHeight="1" x14ac:dyDescent="0.2">
      <c r="C236" s="157"/>
      <c r="D236" s="157"/>
      <c r="E236" s="157"/>
      <c r="F236" s="157"/>
      <c r="G236" s="157"/>
      <c r="H236" s="157"/>
    </row>
    <row r="237" spans="3:8" ht="15.75" customHeight="1" x14ac:dyDescent="0.2">
      <c r="C237" s="157"/>
      <c r="D237" s="157"/>
      <c r="E237" s="157"/>
      <c r="F237" s="157"/>
      <c r="G237" s="157"/>
      <c r="H237" s="157"/>
    </row>
    <row r="238" spans="3:8" ht="15.75" customHeight="1" x14ac:dyDescent="0.2">
      <c r="C238" s="157"/>
      <c r="D238" s="157"/>
      <c r="E238" s="157"/>
      <c r="F238" s="157"/>
      <c r="G238" s="157"/>
      <c r="H238" s="157"/>
    </row>
    <row r="239" spans="3:8" ht="15.75" customHeight="1" x14ac:dyDescent="0.2">
      <c r="C239" s="157"/>
      <c r="D239" s="157"/>
      <c r="E239" s="157"/>
      <c r="F239" s="157"/>
      <c r="G239" s="157"/>
      <c r="H239" s="157"/>
    </row>
    <row r="240" spans="3:8" ht="15.75" customHeight="1" x14ac:dyDescent="0.2">
      <c r="C240" s="157"/>
      <c r="D240" s="157"/>
      <c r="E240" s="157"/>
      <c r="F240" s="157"/>
      <c r="G240" s="157"/>
      <c r="H240" s="157"/>
    </row>
    <row r="241" spans="3:8" ht="15.75" customHeight="1" x14ac:dyDescent="0.2">
      <c r="C241" s="157"/>
      <c r="D241" s="157"/>
      <c r="E241" s="157"/>
      <c r="F241" s="157"/>
      <c r="G241" s="157"/>
      <c r="H241" s="157"/>
    </row>
    <row r="242" spans="3:8" ht="15.75" customHeight="1" x14ac:dyDescent="0.2">
      <c r="C242" s="157"/>
      <c r="D242" s="157"/>
      <c r="E242" s="157"/>
      <c r="F242" s="157"/>
      <c r="G242" s="157"/>
      <c r="H242" s="157"/>
    </row>
    <row r="243" spans="3:8" ht="15.75" customHeight="1" x14ac:dyDescent="0.2">
      <c r="C243" s="157"/>
      <c r="D243" s="157"/>
      <c r="E243" s="157"/>
      <c r="F243" s="157"/>
      <c r="G243" s="157"/>
      <c r="H243" s="157"/>
    </row>
    <row r="244" spans="3:8" ht="15.75" customHeight="1" x14ac:dyDescent="0.2">
      <c r="C244" s="157"/>
      <c r="D244" s="157"/>
      <c r="E244" s="157"/>
      <c r="F244" s="157"/>
      <c r="G244" s="157"/>
      <c r="H244" s="157"/>
    </row>
    <row r="245" spans="3:8" ht="15.75" customHeight="1" x14ac:dyDescent="0.2">
      <c r="C245" s="157"/>
      <c r="D245" s="157"/>
      <c r="E245" s="157"/>
      <c r="F245" s="157"/>
      <c r="G245" s="157"/>
      <c r="H245" s="157"/>
    </row>
    <row r="246" spans="3:8" ht="15.75" customHeight="1" x14ac:dyDescent="0.2">
      <c r="C246" s="157"/>
      <c r="D246" s="157"/>
      <c r="E246" s="157"/>
      <c r="F246" s="157"/>
      <c r="G246" s="157"/>
      <c r="H246" s="157"/>
    </row>
    <row r="247" spans="3:8" ht="15.75" customHeight="1" x14ac:dyDescent="0.2">
      <c r="C247" s="157"/>
      <c r="D247" s="157"/>
      <c r="E247" s="157"/>
      <c r="F247" s="157"/>
      <c r="G247" s="157"/>
      <c r="H247" s="157"/>
    </row>
    <row r="248" spans="3:8" ht="15.75" customHeight="1" x14ac:dyDescent="0.2">
      <c r="C248" s="157"/>
      <c r="D248" s="157"/>
      <c r="E248" s="157"/>
      <c r="F248" s="157"/>
      <c r="G248" s="157"/>
      <c r="H248" s="157"/>
    </row>
    <row r="249" spans="3:8" ht="15.75" customHeight="1" x14ac:dyDescent="0.2">
      <c r="C249" s="157"/>
      <c r="D249" s="157"/>
      <c r="E249" s="157"/>
      <c r="F249" s="157"/>
      <c r="G249" s="157"/>
      <c r="H249" s="157"/>
    </row>
    <row r="250" spans="3:8" ht="15.75" customHeight="1" x14ac:dyDescent="0.2">
      <c r="C250" s="157"/>
      <c r="D250" s="157"/>
      <c r="E250" s="157"/>
      <c r="F250" s="157"/>
      <c r="G250" s="157"/>
      <c r="H250" s="157"/>
    </row>
    <row r="251" spans="3:8" ht="15.75" customHeight="1" x14ac:dyDescent="0.2">
      <c r="C251" s="157"/>
      <c r="D251" s="157"/>
      <c r="E251" s="157"/>
      <c r="F251" s="157"/>
      <c r="G251" s="157"/>
      <c r="H251" s="157"/>
    </row>
    <row r="252" spans="3:8" ht="15.75" customHeight="1" x14ac:dyDescent="0.2">
      <c r="C252" s="157"/>
      <c r="D252" s="157"/>
      <c r="E252" s="157"/>
      <c r="F252" s="157"/>
      <c r="G252" s="157"/>
      <c r="H252" s="157"/>
    </row>
    <row r="253" spans="3:8" ht="15.75" customHeight="1" x14ac:dyDescent="0.2">
      <c r="C253" s="157"/>
      <c r="D253" s="157"/>
      <c r="E253" s="157"/>
      <c r="F253" s="157"/>
      <c r="G253" s="157"/>
      <c r="H253" s="157"/>
    </row>
    <row r="254" spans="3:8" ht="15.75" customHeight="1" x14ac:dyDescent="0.2">
      <c r="C254" s="157"/>
      <c r="D254" s="157"/>
      <c r="E254" s="157"/>
      <c r="F254" s="157"/>
      <c r="G254" s="157"/>
      <c r="H254" s="157"/>
    </row>
    <row r="255" spans="3:8" ht="15.75" customHeight="1" x14ac:dyDescent="0.2">
      <c r="C255" s="157"/>
      <c r="D255" s="157"/>
      <c r="E255" s="157"/>
      <c r="F255" s="157"/>
      <c r="G255" s="157"/>
      <c r="H255" s="157"/>
    </row>
    <row r="256" spans="3:8" ht="15.75" customHeight="1" x14ac:dyDescent="0.2">
      <c r="C256" s="157"/>
      <c r="D256" s="157"/>
      <c r="E256" s="157"/>
      <c r="F256" s="157"/>
      <c r="G256" s="157"/>
      <c r="H256" s="157"/>
    </row>
    <row r="257" spans="3:8" ht="15.75" customHeight="1" x14ac:dyDescent="0.2">
      <c r="C257" s="157"/>
      <c r="D257" s="157"/>
      <c r="E257" s="157"/>
      <c r="F257" s="157"/>
      <c r="G257" s="157"/>
      <c r="H257" s="157"/>
    </row>
    <row r="258" spans="3:8" ht="15.75" customHeight="1" x14ac:dyDescent="0.2">
      <c r="C258" s="157"/>
      <c r="D258" s="157"/>
      <c r="E258" s="157"/>
      <c r="F258" s="157"/>
      <c r="G258" s="157"/>
      <c r="H258" s="157"/>
    </row>
    <row r="259" spans="3:8" ht="15.75" customHeight="1" x14ac:dyDescent="0.2">
      <c r="C259" s="157"/>
      <c r="D259" s="157"/>
      <c r="E259" s="157"/>
      <c r="F259" s="157"/>
      <c r="G259" s="157"/>
      <c r="H259" s="157"/>
    </row>
    <row r="260" spans="3:8" ht="15.75" customHeight="1" x14ac:dyDescent="0.2">
      <c r="C260" s="157"/>
      <c r="D260" s="157"/>
      <c r="E260" s="157"/>
      <c r="F260" s="157"/>
      <c r="G260" s="157"/>
      <c r="H260" s="157"/>
    </row>
    <row r="261" spans="3:8" ht="15.75" customHeight="1" x14ac:dyDescent="0.2">
      <c r="C261" s="157"/>
      <c r="D261" s="157"/>
      <c r="E261" s="157"/>
      <c r="F261" s="157"/>
      <c r="G261" s="157"/>
      <c r="H261" s="157"/>
    </row>
    <row r="262" spans="3:8" ht="15.75" customHeight="1" x14ac:dyDescent="0.2">
      <c r="C262" s="157"/>
      <c r="D262" s="157"/>
      <c r="E262" s="157"/>
      <c r="F262" s="157"/>
      <c r="G262" s="157"/>
      <c r="H262" s="157"/>
    </row>
    <row r="263" spans="3:8" ht="15.75" customHeight="1" x14ac:dyDescent="0.2">
      <c r="C263" s="157"/>
      <c r="D263" s="157"/>
      <c r="E263" s="157"/>
      <c r="F263" s="157"/>
      <c r="G263" s="157"/>
      <c r="H263" s="157"/>
    </row>
    <row r="264" spans="3:8" ht="15.75" customHeight="1" x14ac:dyDescent="0.2">
      <c r="C264" s="157"/>
      <c r="D264" s="157"/>
      <c r="E264" s="157"/>
      <c r="F264" s="157"/>
      <c r="G264" s="157"/>
      <c r="H264" s="157"/>
    </row>
    <row r="265" spans="3:8" ht="15.75" customHeight="1" x14ac:dyDescent="0.2">
      <c r="C265" s="157"/>
      <c r="D265" s="157"/>
      <c r="E265" s="157"/>
      <c r="F265" s="157"/>
      <c r="G265" s="157"/>
      <c r="H265" s="157"/>
    </row>
    <row r="266" spans="3:8" ht="15.75" customHeight="1" x14ac:dyDescent="0.2">
      <c r="C266" s="157"/>
      <c r="D266" s="157"/>
      <c r="E266" s="157"/>
      <c r="F266" s="157"/>
      <c r="G266" s="157"/>
      <c r="H266" s="157"/>
    </row>
    <row r="267" spans="3:8" ht="15.75" customHeight="1" x14ac:dyDescent="0.2">
      <c r="C267" s="157"/>
      <c r="D267" s="157"/>
      <c r="E267" s="157"/>
      <c r="F267" s="157"/>
      <c r="G267" s="157"/>
      <c r="H267" s="157"/>
    </row>
    <row r="268" spans="3:8" ht="15.75" customHeight="1" x14ac:dyDescent="0.2">
      <c r="C268" s="157"/>
      <c r="D268" s="157"/>
      <c r="E268" s="157"/>
      <c r="F268" s="157"/>
      <c r="G268" s="157"/>
      <c r="H268" s="157"/>
    </row>
    <row r="269" spans="3:8" ht="15.75" customHeight="1" x14ac:dyDescent="0.2">
      <c r="C269" s="157"/>
      <c r="D269" s="157"/>
      <c r="E269" s="157"/>
      <c r="F269" s="157"/>
      <c r="G269" s="157"/>
      <c r="H269" s="157"/>
    </row>
    <row r="270" spans="3:8" ht="15.75" customHeight="1" x14ac:dyDescent="0.2">
      <c r="C270" s="157"/>
      <c r="D270" s="157"/>
      <c r="E270" s="157"/>
      <c r="F270" s="157"/>
      <c r="G270" s="157"/>
      <c r="H270" s="157"/>
    </row>
    <row r="271" spans="3:8" ht="15.75" customHeight="1" x14ac:dyDescent="0.2">
      <c r="C271" s="157"/>
      <c r="D271" s="157"/>
      <c r="E271" s="157"/>
      <c r="F271" s="157"/>
      <c r="G271" s="157"/>
      <c r="H271" s="157"/>
    </row>
    <row r="272" spans="3:8" ht="15.75" customHeight="1" x14ac:dyDescent="0.2">
      <c r="C272" s="157"/>
      <c r="D272" s="157"/>
      <c r="E272" s="157"/>
      <c r="F272" s="157"/>
      <c r="G272" s="157"/>
      <c r="H272" s="157"/>
    </row>
    <row r="273" spans="3:8" ht="15.75" customHeight="1" x14ac:dyDescent="0.2">
      <c r="C273" s="157"/>
      <c r="D273" s="157"/>
      <c r="E273" s="157"/>
      <c r="F273" s="157"/>
      <c r="G273" s="157"/>
      <c r="H273" s="157"/>
    </row>
    <row r="274" spans="3:8" ht="15.75" customHeight="1" x14ac:dyDescent="0.2">
      <c r="C274" s="157"/>
      <c r="D274" s="157"/>
      <c r="E274" s="157"/>
      <c r="F274" s="157"/>
      <c r="G274" s="157"/>
      <c r="H274" s="157"/>
    </row>
    <row r="275" spans="3:8" ht="15.75" customHeight="1" x14ac:dyDescent="0.2">
      <c r="C275" s="157"/>
      <c r="D275" s="157"/>
      <c r="E275" s="157"/>
      <c r="F275" s="157"/>
      <c r="G275" s="157"/>
      <c r="H275" s="157"/>
    </row>
    <row r="276" spans="3:8" ht="15.75" customHeight="1" x14ac:dyDescent="0.2">
      <c r="C276" s="157"/>
      <c r="D276" s="157"/>
      <c r="E276" s="157"/>
      <c r="F276" s="157"/>
      <c r="G276" s="157"/>
      <c r="H276" s="157"/>
    </row>
    <row r="277" spans="3:8" ht="15.75" customHeight="1" x14ac:dyDescent="0.2">
      <c r="C277" s="157"/>
      <c r="D277" s="157"/>
      <c r="E277" s="157"/>
      <c r="F277" s="157"/>
      <c r="G277" s="157"/>
      <c r="H277" s="157"/>
    </row>
    <row r="278" spans="3:8" ht="15.75" customHeight="1" x14ac:dyDescent="0.2">
      <c r="C278" s="157"/>
      <c r="D278" s="157"/>
      <c r="E278" s="157"/>
      <c r="F278" s="157"/>
      <c r="G278" s="157"/>
      <c r="H278" s="157"/>
    </row>
    <row r="279" spans="3:8" ht="15.75" customHeight="1" x14ac:dyDescent="0.2">
      <c r="C279" s="157"/>
      <c r="D279" s="157"/>
      <c r="E279" s="157"/>
      <c r="F279" s="157"/>
      <c r="G279" s="157"/>
      <c r="H279" s="157"/>
    </row>
    <row r="280" spans="3:8" ht="15.75" customHeight="1" x14ac:dyDescent="0.2">
      <c r="C280" s="157"/>
      <c r="D280" s="157"/>
      <c r="E280" s="157"/>
      <c r="F280" s="157"/>
      <c r="G280" s="157"/>
      <c r="H280" s="157"/>
    </row>
    <row r="281" spans="3:8" ht="15.75" customHeight="1" x14ac:dyDescent="0.2">
      <c r="C281" s="157"/>
      <c r="D281" s="157"/>
      <c r="E281" s="157"/>
      <c r="F281" s="157"/>
      <c r="G281" s="157"/>
      <c r="H281" s="157"/>
    </row>
    <row r="282" spans="3:8" ht="15.75" customHeight="1" x14ac:dyDescent="0.2">
      <c r="C282" s="157"/>
      <c r="D282" s="157"/>
      <c r="E282" s="157"/>
      <c r="F282" s="157"/>
      <c r="G282" s="157"/>
      <c r="H282" s="157"/>
    </row>
    <row r="283" spans="3:8" ht="15.75" customHeight="1" x14ac:dyDescent="0.2">
      <c r="C283" s="157"/>
      <c r="D283" s="157"/>
      <c r="E283" s="157"/>
      <c r="F283" s="157"/>
      <c r="G283" s="157"/>
      <c r="H283" s="157"/>
    </row>
    <row r="284" spans="3:8" ht="15.75" customHeight="1" x14ac:dyDescent="0.2">
      <c r="C284" s="157"/>
      <c r="D284" s="157"/>
      <c r="E284" s="157"/>
      <c r="F284" s="157"/>
      <c r="G284" s="157"/>
      <c r="H284" s="157"/>
    </row>
    <row r="285" spans="3:8" ht="15.75" customHeight="1" x14ac:dyDescent="0.2">
      <c r="C285" s="157"/>
      <c r="D285" s="157"/>
      <c r="E285" s="157"/>
      <c r="F285" s="157"/>
      <c r="G285" s="157"/>
      <c r="H285" s="157"/>
    </row>
    <row r="286" spans="3:8" ht="15.75" customHeight="1" x14ac:dyDescent="0.2">
      <c r="C286" s="157"/>
      <c r="D286" s="157"/>
      <c r="E286" s="157"/>
      <c r="F286" s="157"/>
      <c r="G286" s="157"/>
      <c r="H286" s="157"/>
    </row>
    <row r="287" spans="3:8" ht="15.75" customHeight="1" x14ac:dyDescent="0.2">
      <c r="C287" s="157"/>
      <c r="D287" s="157"/>
      <c r="E287" s="157"/>
      <c r="F287" s="157"/>
      <c r="G287" s="157"/>
      <c r="H287" s="157"/>
    </row>
    <row r="288" spans="3:8" ht="15.75" customHeight="1" x14ac:dyDescent="0.2">
      <c r="C288" s="157"/>
      <c r="D288" s="157"/>
      <c r="E288" s="157"/>
      <c r="F288" s="157"/>
      <c r="G288" s="157"/>
      <c r="H288" s="157"/>
    </row>
    <row r="289" spans="3:8" ht="15.75" customHeight="1" x14ac:dyDescent="0.2">
      <c r="C289" s="157"/>
      <c r="D289" s="157"/>
      <c r="E289" s="157"/>
      <c r="F289" s="157"/>
      <c r="G289" s="157"/>
      <c r="H289" s="157"/>
    </row>
    <row r="290" spans="3:8" ht="15.75" customHeight="1" x14ac:dyDescent="0.2">
      <c r="C290" s="157"/>
      <c r="D290" s="157"/>
      <c r="E290" s="157"/>
      <c r="F290" s="157"/>
      <c r="G290" s="157"/>
      <c r="H290" s="157"/>
    </row>
    <row r="291" spans="3:8" ht="15.75" customHeight="1" x14ac:dyDescent="0.2">
      <c r="C291" s="157"/>
      <c r="D291" s="157"/>
      <c r="E291" s="157"/>
      <c r="F291" s="157"/>
      <c r="G291" s="157"/>
      <c r="H291" s="157"/>
    </row>
    <row r="292" spans="3:8" ht="15.75" customHeight="1" x14ac:dyDescent="0.2">
      <c r="C292" s="157"/>
      <c r="D292" s="157"/>
      <c r="E292" s="157"/>
      <c r="F292" s="157"/>
      <c r="G292" s="157"/>
      <c r="H292" s="157"/>
    </row>
    <row r="293" spans="3:8" ht="15.75" customHeight="1" x14ac:dyDescent="0.2">
      <c r="C293" s="157"/>
      <c r="D293" s="157"/>
      <c r="E293" s="157"/>
      <c r="F293" s="157"/>
      <c r="G293" s="157"/>
      <c r="H293" s="157"/>
    </row>
    <row r="294" spans="3:8" ht="15.75" customHeight="1" x14ac:dyDescent="0.2">
      <c r="C294" s="157"/>
      <c r="D294" s="157"/>
      <c r="E294" s="157"/>
      <c r="F294" s="157"/>
      <c r="G294" s="157"/>
      <c r="H294" s="157"/>
    </row>
    <row r="295" spans="3:8" ht="15.75" customHeight="1" x14ac:dyDescent="0.2">
      <c r="C295" s="157"/>
      <c r="D295" s="157"/>
      <c r="E295" s="157"/>
      <c r="F295" s="157"/>
      <c r="G295" s="157"/>
      <c r="H295" s="157"/>
    </row>
    <row r="296" spans="3:8" ht="15.75" customHeight="1" x14ac:dyDescent="0.2">
      <c r="C296" s="157"/>
      <c r="D296" s="157"/>
      <c r="E296" s="157"/>
      <c r="F296" s="157"/>
      <c r="G296" s="157"/>
      <c r="H296" s="157"/>
    </row>
    <row r="297" spans="3:8" ht="15.75" customHeight="1" x14ac:dyDescent="0.2">
      <c r="C297" s="157"/>
      <c r="D297" s="157"/>
      <c r="E297" s="157"/>
      <c r="F297" s="157"/>
      <c r="G297" s="157"/>
      <c r="H297" s="157"/>
    </row>
    <row r="298" spans="3:8" ht="15.75" customHeight="1" x14ac:dyDescent="0.2">
      <c r="C298" s="157"/>
      <c r="D298" s="157"/>
      <c r="E298" s="157"/>
      <c r="F298" s="157"/>
      <c r="G298" s="157"/>
      <c r="H298" s="157"/>
    </row>
    <row r="299" spans="3:8" ht="15.75" customHeight="1" x14ac:dyDescent="0.2">
      <c r="C299" s="157"/>
      <c r="D299" s="157"/>
      <c r="E299" s="157"/>
      <c r="F299" s="157"/>
      <c r="G299" s="157"/>
      <c r="H299" s="157"/>
    </row>
    <row r="300" spans="3:8" ht="15.75" customHeight="1" x14ac:dyDescent="0.2">
      <c r="C300" s="157"/>
      <c r="D300" s="157"/>
      <c r="E300" s="157"/>
      <c r="F300" s="157"/>
      <c r="G300" s="157"/>
      <c r="H300" s="157"/>
    </row>
    <row r="301" spans="3:8" ht="15.75" customHeight="1" x14ac:dyDescent="0.2">
      <c r="C301" s="157"/>
      <c r="D301" s="157"/>
      <c r="E301" s="157"/>
      <c r="F301" s="157"/>
      <c r="G301" s="157"/>
      <c r="H301" s="157"/>
    </row>
    <row r="302" spans="3:8" ht="15.75" customHeight="1" x14ac:dyDescent="0.2">
      <c r="C302" s="157"/>
      <c r="D302" s="157"/>
      <c r="E302" s="157"/>
      <c r="F302" s="157"/>
      <c r="G302" s="157"/>
      <c r="H302" s="157"/>
    </row>
    <row r="303" spans="3:8" ht="15.75" customHeight="1" x14ac:dyDescent="0.2">
      <c r="C303" s="157"/>
      <c r="D303" s="157"/>
      <c r="E303" s="157"/>
      <c r="F303" s="157"/>
      <c r="G303" s="157"/>
      <c r="H303" s="157"/>
    </row>
    <row r="304" spans="3:8" ht="15.75" customHeight="1" x14ac:dyDescent="0.2">
      <c r="C304" s="157"/>
      <c r="D304" s="157"/>
      <c r="E304" s="157"/>
      <c r="F304" s="157"/>
      <c r="G304" s="157"/>
      <c r="H304" s="157"/>
    </row>
    <row r="305" spans="3:8" ht="15.75" customHeight="1" x14ac:dyDescent="0.2">
      <c r="C305" s="157"/>
      <c r="D305" s="157"/>
      <c r="E305" s="157"/>
      <c r="F305" s="157"/>
      <c r="G305" s="157"/>
      <c r="H305" s="157"/>
    </row>
    <row r="306" spans="3:8" ht="15.75" customHeight="1" x14ac:dyDescent="0.2">
      <c r="C306" s="157"/>
      <c r="D306" s="157"/>
      <c r="E306" s="157"/>
      <c r="F306" s="157"/>
      <c r="G306" s="157"/>
      <c r="H306" s="157"/>
    </row>
    <row r="307" spans="3:8" ht="15.75" customHeight="1" x14ac:dyDescent="0.2">
      <c r="C307" s="157"/>
      <c r="D307" s="157"/>
      <c r="E307" s="157"/>
      <c r="F307" s="157"/>
      <c r="G307" s="157"/>
      <c r="H307" s="157"/>
    </row>
    <row r="308" spans="3:8" ht="15.75" customHeight="1" x14ac:dyDescent="0.2">
      <c r="C308" s="157"/>
      <c r="D308" s="157"/>
      <c r="E308" s="157"/>
      <c r="F308" s="157"/>
      <c r="G308" s="157"/>
      <c r="H308" s="157"/>
    </row>
    <row r="309" spans="3:8" ht="15.75" customHeight="1" x14ac:dyDescent="0.2">
      <c r="C309" s="157"/>
      <c r="D309" s="157"/>
      <c r="E309" s="157"/>
      <c r="F309" s="157"/>
      <c r="G309" s="157"/>
      <c r="H309" s="157"/>
    </row>
    <row r="310" spans="3:8" ht="15.75" customHeight="1" x14ac:dyDescent="0.2">
      <c r="C310" s="157"/>
      <c r="D310" s="157"/>
      <c r="E310" s="157"/>
      <c r="F310" s="157"/>
      <c r="G310" s="157"/>
      <c r="H310" s="157"/>
    </row>
    <row r="311" spans="3:8" ht="15.75" customHeight="1" x14ac:dyDescent="0.2">
      <c r="C311" s="157"/>
      <c r="D311" s="157"/>
      <c r="E311" s="157"/>
      <c r="F311" s="157"/>
      <c r="G311" s="157"/>
      <c r="H311" s="157"/>
    </row>
    <row r="312" spans="3:8" ht="15.75" customHeight="1" x14ac:dyDescent="0.2">
      <c r="C312" s="157"/>
      <c r="D312" s="157"/>
      <c r="E312" s="157"/>
      <c r="F312" s="157"/>
      <c r="G312" s="157"/>
      <c r="H312" s="157"/>
    </row>
    <row r="313" spans="3:8" ht="15.75" customHeight="1" x14ac:dyDescent="0.2">
      <c r="C313" s="157"/>
      <c r="D313" s="157"/>
      <c r="E313" s="157"/>
      <c r="F313" s="157"/>
      <c r="G313" s="157"/>
      <c r="H313" s="157"/>
    </row>
    <row r="314" spans="3:8" ht="15.75" customHeight="1" x14ac:dyDescent="0.2">
      <c r="C314" s="157"/>
      <c r="D314" s="157"/>
      <c r="E314" s="157"/>
      <c r="F314" s="157"/>
      <c r="G314" s="157"/>
      <c r="H314" s="157"/>
    </row>
    <row r="315" spans="3:8" ht="15.75" customHeight="1" x14ac:dyDescent="0.2">
      <c r="C315" s="157"/>
      <c r="D315" s="157"/>
      <c r="E315" s="157"/>
      <c r="F315" s="157"/>
      <c r="G315" s="157"/>
      <c r="H315" s="157"/>
    </row>
    <row r="316" spans="3:8" ht="15.75" customHeight="1" x14ac:dyDescent="0.2">
      <c r="C316" s="157"/>
      <c r="D316" s="157"/>
      <c r="E316" s="157"/>
      <c r="F316" s="157"/>
      <c r="G316" s="157"/>
      <c r="H316" s="157"/>
    </row>
    <row r="317" spans="3:8" ht="15.75" customHeight="1" x14ac:dyDescent="0.2">
      <c r="C317" s="157"/>
      <c r="D317" s="157"/>
      <c r="E317" s="157"/>
      <c r="F317" s="157"/>
      <c r="G317" s="157"/>
      <c r="H317" s="157"/>
    </row>
    <row r="318" spans="3:8" ht="15.75" customHeight="1" x14ac:dyDescent="0.2">
      <c r="C318" s="157"/>
      <c r="D318" s="157"/>
      <c r="E318" s="157"/>
      <c r="F318" s="157"/>
      <c r="G318" s="157"/>
      <c r="H318" s="157"/>
    </row>
    <row r="319" spans="3:8" ht="15.75" customHeight="1" x14ac:dyDescent="0.2">
      <c r="C319" s="157"/>
      <c r="D319" s="157"/>
      <c r="E319" s="157"/>
      <c r="F319" s="157"/>
      <c r="G319" s="157"/>
      <c r="H319" s="157"/>
    </row>
    <row r="320" spans="3:8" ht="15.75" customHeight="1" x14ac:dyDescent="0.2">
      <c r="C320" s="157"/>
      <c r="D320" s="157"/>
      <c r="E320" s="157"/>
      <c r="F320" s="157"/>
      <c r="G320" s="157"/>
      <c r="H320" s="157"/>
    </row>
    <row r="321" spans="3:8" ht="15.75" customHeight="1" x14ac:dyDescent="0.2">
      <c r="C321" s="157"/>
      <c r="D321" s="157"/>
      <c r="E321" s="157"/>
      <c r="F321" s="157"/>
      <c r="G321" s="157"/>
      <c r="H321" s="157"/>
    </row>
    <row r="322" spans="3:8" ht="15.75" customHeight="1" x14ac:dyDescent="0.2">
      <c r="C322" s="157"/>
      <c r="D322" s="157"/>
      <c r="E322" s="157"/>
      <c r="F322" s="157"/>
      <c r="G322" s="157"/>
      <c r="H322" s="157"/>
    </row>
    <row r="323" spans="3:8" ht="15.75" customHeight="1" x14ac:dyDescent="0.2">
      <c r="C323" s="157"/>
      <c r="D323" s="157"/>
      <c r="E323" s="157"/>
      <c r="F323" s="157"/>
      <c r="G323" s="157"/>
      <c r="H323" s="157"/>
    </row>
    <row r="324" spans="3:8" ht="15.75" customHeight="1" x14ac:dyDescent="0.2">
      <c r="C324" s="157"/>
      <c r="D324" s="157"/>
      <c r="E324" s="157"/>
      <c r="F324" s="157"/>
      <c r="G324" s="157"/>
      <c r="H324" s="157"/>
    </row>
    <row r="325" spans="3:8" ht="15.75" customHeight="1" x14ac:dyDescent="0.2">
      <c r="C325" s="157"/>
      <c r="D325" s="157"/>
      <c r="E325" s="157"/>
      <c r="F325" s="157"/>
      <c r="G325" s="157"/>
      <c r="H325" s="157"/>
    </row>
    <row r="326" spans="3:8" ht="15.75" customHeight="1" x14ac:dyDescent="0.2">
      <c r="C326" s="157"/>
      <c r="D326" s="157"/>
      <c r="E326" s="157"/>
      <c r="F326" s="157"/>
      <c r="G326" s="157"/>
      <c r="H326" s="157"/>
    </row>
    <row r="327" spans="3:8" ht="15.75" customHeight="1" x14ac:dyDescent="0.2">
      <c r="C327" s="157"/>
      <c r="D327" s="157"/>
      <c r="E327" s="157"/>
      <c r="F327" s="157"/>
      <c r="G327" s="157"/>
      <c r="H327" s="157"/>
    </row>
    <row r="328" spans="3:8" ht="15.75" customHeight="1" x14ac:dyDescent="0.2">
      <c r="C328" s="157"/>
      <c r="D328" s="157"/>
      <c r="E328" s="157"/>
      <c r="F328" s="157"/>
      <c r="G328" s="157"/>
      <c r="H328" s="157"/>
    </row>
    <row r="329" spans="3:8" ht="15.75" customHeight="1" x14ac:dyDescent="0.2">
      <c r="C329" s="157"/>
      <c r="D329" s="157"/>
      <c r="E329" s="157"/>
      <c r="F329" s="157"/>
      <c r="G329" s="157"/>
      <c r="H329" s="157"/>
    </row>
    <row r="330" spans="3:8" ht="15.75" customHeight="1" x14ac:dyDescent="0.2">
      <c r="C330" s="157"/>
      <c r="D330" s="157"/>
      <c r="E330" s="157"/>
      <c r="F330" s="157"/>
      <c r="G330" s="157"/>
      <c r="H330" s="157"/>
    </row>
    <row r="331" spans="3:8" ht="15.75" customHeight="1" x14ac:dyDescent="0.2">
      <c r="C331" s="157"/>
      <c r="D331" s="157"/>
      <c r="E331" s="157"/>
      <c r="F331" s="157"/>
      <c r="G331" s="157"/>
      <c r="H331" s="157"/>
    </row>
    <row r="332" spans="3:8" ht="15.75" customHeight="1" x14ac:dyDescent="0.2">
      <c r="C332" s="157"/>
      <c r="D332" s="157"/>
      <c r="E332" s="157"/>
      <c r="F332" s="157"/>
      <c r="G332" s="157"/>
      <c r="H332" s="157"/>
    </row>
    <row r="333" spans="3:8" ht="15.75" customHeight="1" x14ac:dyDescent="0.2">
      <c r="C333" s="157"/>
      <c r="D333" s="157"/>
      <c r="E333" s="157"/>
      <c r="F333" s="157"/>
      <c r="G333" s="157"/>
      <c r="H333" s="157"/>
    </row>
    <row r="334" spans="3:8" ht="15.75" customHeight="1" x14ac:dyDescent="0.2">
      <c r="C334" s="157"/>
      <c r="D334" s="157"/>
      <c r="E334" s="157"/>
      <c r="F334" s="157"/>
      <c r="G334" s="157"/>
      <c r="H334" s="157"/>
    </row>
    <row r="335" spans="3:8" ht="15.75" customHeight="1" x14ac:dyDescent="0.2">
      <c r="C335" s="157"/>
      <c r="D335" s="157"/>
      <c r="E335" s="157"/>
      <c r="F335" s="157"/>
      <c r="G335" s="157"/>
      <c r="H335" s="157"/>
    </row>
    <row r="336" spans="3:8" ht="15.75" customHeight="1" x14ac:dyDescent="0.2">
      <c r="C336" s="157"/>
      <c r="D336" s="157"/>
      <c r="E336" s="157"/>
      <c r="F336" s="157"/>
      <c r="G336" s="157"/>
      <c r="H336" s="157"/>
    </row>
    <row r="337" spans="3:8" ht="15.75" customHeight="1" x14ac:dyDescent="0.2">
      <c r="C337" s="157"/>
      <c r="D337" s="157"/>
      <c r="E337" s="157"/>
      <c r="F337" s="157"/>
      <c r="G337" s="157"/>
      <c r="H337" s="157"/>
    </row>
    <row r="338" spans="3:8" ht="15.75" customHeight="1" x14ac:dyDescent="0.2">
      <c r="C338" s="157"/>
      <c r="D338" s="157"/>
      <c r="E338" s="157"/>
      <c r="F338" s="157"/>
      <c r="G338" s="157"/>
      <c r="H338" s="157"/>
    </row>
    <row r="339" spans="3:8" ht="15.75" customHeight="1" x14ac:dyDescent="0.2">
      <c r="C339" s="157"/>
      <c r="D339" s="157"/>
      <c r="E339" s="157"/>
      <c r="F339" s="157"/>
      <c r="G339" s="157"/>
      <c r="H339" s="157"/>
    </row>
    <row r="340" spans="3:8" ht="15.75" customHeight="1" x14ac:dyDescent="0.2">
      <c r="C340" s="157"/>
      <c r="D340" s="157"/>
      <c r="E340" s="157"/>
      <c r="F340" s="157"/>
      <c r="G340" s="157"/>
      <c r="H340" s="157"/>
    </row>
    <row r="341" spans="3:8" ht="15.75" customHeight="1" x14ac:dyDescent="0.2">
      <c r="C341" s="157"/>
      <c r="D341" s="157"/>
      <c r="E341" s="157"/>
      <c r="F341" s="157"/>
      <c r="G341" s="157"/>
      <c r="H341" s="157"/>
    </row>
    <row r="342" spans="3:8" ht="15.75" customHeight="1" x14ac:dyDescent="0.2">
      <c r="C342" s="157"/>
      <c r="D342" s="157"/>
      <c r="E342" s="157"/>
      <c r="F342" s="157"/>
      <c r="G342" s="157"/>
      <c r="H342" s="157"/>
    </row>
    <row r="343" spans="3:8" ht="15.75" customHeight="1" x14ac:dyDescent="0.2">
      <c r="C343" s="157"/>
      <c r="D343" s="157"/>
      <c r="E343" s="157"/>
      <c r="F343" s="157"/>
      <c r="G343" s="157"/>
      <c r="H343" s="157"/>
    </row>
    <row r="344" spans="3:8" ht="15.75" customHeight="1" x14ac:dyDescent="0.2">
      <c r="C344" s="157"/>
      <c r="D344" s="157"/>
      <c r="E344" s="157"/>
      <c r="F344" s="157"/>
      <c r="G344" s="157"/>
      <c r="H344" s="157"/>
    </row>
    <row r="345" spans="3:8" ht="15.75" customHeight="1" x14ac:dyDescent="0.2">
      <c r="C345" s="157"/>
      <c r="D345" s="157"/>
      <c r="E345" s="157"/>
      <c r="F345" s="157"/>
      <c r="G345" s="157"/>
      <c r="H345" s="157"/>
    </row>
    <row r="346" spans="3:8" ht="15.75" customHeight="1" x14ac:dyDescent="0.2">
      <c r="C346" s="157"/>
      <c r="D346" s="157"/>
      <c r="E346" s="157"/>
      <c r="F346" s="157"/>
      <c r="G346" s="157"/>
      <c r="H346" s="157"/>
    </row>
    <row r="347" spans="3:8" ht="15.75" customHeight="1" x14ac:dyDescent="0.2">
      <c r="C347" s="157"/>
      <c r="D347" s="157"/>
      <c r="E347" s="157"/>
      <c r="F347" s="157"/>
      <c r="G347" s="157"/>
      <c r="H347" s="157"/>
    </row>
    <row r="348" spans="3:8" ht="15.75" customHeight="1" x14ac:dyDescent="0.2">
      <c r="C348" s="157"/>
      <c r="D348" s="157"/>
      <c r="E348" s="157"/>
      <c r="F348" s="157"/>
      <c r="G348" s="157"/>
      <c r="H348" s="157"/>
    </row>
    <row r="349" spans="3:8" ht="15.75" customHeight="1" x14ac:dyDescent="0.2">
      <c r="C349" s="157"/>
      <c r="D349" s="157"/>
      <c r="E349" s="157"/>
      <c r="F349" s="157"/>
      <c r="G349" s="157"/>
      <c r="H349" s="157"/>
    </row>
    <row r="350" spans="3:8" ht="15.75" customHeight="1" x14ac:dyDescent="0.2">
      <c r="C350" s="157"/>
      <c r="D350" s="157"/>
      <c r="E350" s="157"/>
      <c r="F350" s="157"/>
      <c r="G350" s="157"/>
      <c r="H350" s="157"/>
    </row>
    <row r="351" spans="3:8" ht="15.75" customHeight="1" x14ac:dyDescent="0.2">
      <c r="C351" s="157"/>
      <c r="D351" s="157"/>
      <c r="E351" s="157"/>
      <c r="F351" s="157"/>
      <c r="G351" s="157"/>
      <c r="H351" s="157"/>
    </row>
    <row r="352" spans="3:8" ht="15.75" customHeight="1" x14ac:dyDescent="0.2">
      <c r="C352" s="157"/>
      <c r="D352" s="157"/>
      <c r="E352" s="157"/>
      <c r="F352" s="157"/>
      <c r="G352" s="157"/>
      <c r="H352" s="157"/>
    </row>
    <row r="353" spans="3:8" ht="15.75" customHeight="1" x14ac:dyDescent="0.2">
      <c r="C353" s="157"/>
      <c r="D353" s="157"/>
      <c r="E353" s="157"/>
      <c r="F353" s="157"/>
      <c r="G353" s="157"/>
      <c r="H353" s="157"/>
    </row>
    <row r="354" spans="3:8" ht="15.75" customHeight="1" x14ac:dyDescent="0.2">
      <c r="C354" s="157"/>
      <c r="D354" s="157"/>
      <c r="E354" s="157"/>
      <c r="F354" s="157"/>
      <c r="G354" s="157"/>
      <c r="H354" s="157"/>
    </row>
    <row r="355" spans="3:8" ht="15.75" customHeight="1" x14ac:dyDescent="0.2">
      <c r="C355" s="157"/>
      <c r="D355" s="157"/>
      <c r="E355" s="157"/>
      <c r="F355" s="157"/>
      <c r="G355" s="157"/>
      <c r="H355" s="157"/>
    </row>
    <row r="356" spans="3:8" ht="15.75" customHeight="1" x14ac:dyDescent="0.2">
      <c r="C356" s="157"/>
      <c r="D356" s="157"/>
      <c r="E356" s="157"/>
      <c r="F356" s="157"/>
      <c r="G356" s="157"/>
      <c r="H356" s="157"/>
    </row>
    <row r="357" spans="3:8" ht="15.75" customHeight="1" x14ac:dyDescent="0.2">
      <c r="C357" s="157"/>
      <c r="D357" s="157"/>
      <c r="E357" s="157"/>
      <c r="F357" s="157"/>
      <c r="G357" s="157"/>
      <c r="H357" s="157"/>
    </row>
    <row r="358" spans="3:8" ht="15.75" customHeight="1" x14ac:dyDescent="0.2">
      <c r="C358" s="157"/>
      <c r="D358" s="157"/>
      <c r="E358" s="157"/>
      <c r="F358" s="157"/>
      <c r="G358" s="157"/>
      <c r="H358" s="157"/>
    </row>
    <row r="359" spans="3:8" ht="15.75" customHeight="1" x14ac:dyDescent="0.2">
      <c r="C359" s="157"/>
      <c r="D359" s="157"/>
      <c r="E359" s="157"/>
      <c r="F359" s="157"/>
      <c r="G359" s="157"/>
      <c r="H359" s="157"/>
    </row>
    <row r="360" spans="3:8" ht="15.75" customHeight="1" x14ac:dyDescent="0.2">
      <c r="C360" s="157"/>
      <c r="D360" s="157"/>
      <c r="E360" s="157"/>
      <c r="F360" s="157"/>
      <c r="G360" s="157"/>
      <c r="H360" s="157"/>
    </row>
    <row r="361" spans="3:8" ht="15.75" customHeight="1" x14ac:dyDescent="0.2">
      <c r="C361" s="157"/>
      <c r="D361" s="157"/>
      <c r="E361" s="157"/>
      <c r="F361" s="157"/>
      <c r="G361" s="157"/>
      <c r="H361" s="157"/>
    </row>
    <row r="362" spans="3:8" ht="15.75" customHeight="1" x14ac:dyDescent="0.2">
      <c r="C362" s="157"/>
      <c r="D362" s="157"/>
      <c r="E362" s="157"/>
      <c r="F362" s="157"/>
      <c r="G362" s="157"/>
      <c r="H362" s="157"/>
    </row>
    <row r="363" spans="3:8" ht="15.75" customHeight="1" x14ac:dyDescent="0.2">
      <c r="C363" s="157"/>
      <c r="D363" s="157"/>
      <c r="E363" s="157"/>
      <c r="F363" s="157"/>
      <c r="G363" s="157"/>
      <c r="H363" s="157"/>
    </row>
    <row r="364" spans="3:8" ht="15.75" customHeight="1" x14ac:dyDescent="0.2">
      <c r="C364" s="157"/>
      <c r="D364" s="157"/>
      <c r="E364" s="157"/>
      <c r="F364" s="157"/>
      <c r="G364" s="157"/>
      <c r="H364" s="157"/>
    </row>
    <row r="365" spans="3:8" ht="15.75" customHeight="1" x14ac:dyDescent="0.2">
      <c r="C365" s="157"/>
      <c r="D365" s="157"/>
      <c r="E365" s="157"/>
      <c r="F365" s="157"/>
      <c r="G365" s="157"/>
      <c r="H365" s="157"/>
    </row>
    <row r="366" spans="3:8" ht="15.75" customHeight="1" x14ac:dyDescent="0.2">
      <c r="C366" s="157"/>
      <c r="D366" s="157"/>
      <c r="E366" s="157"/>
      <c r="F366" s="157"/>
      <c r="G366" s="157"/>
      <c r="H366" s="157"/>
    </row>
    <row r="367" spans="3:8" ht="15.75" customHeight="1" x14ac:dyDescent="0.2">
      <c r="C367" s="157"/>
      <c r="D367" s="157"/>
      <c r="E367" s="157"/>
      <c r="F367" s="157"/>
      <c r="G367" s="157"/>
      <c r="H367" s="157"/>
    </row>
    <row r="368" spans="3:8" ht="15.75" customHeight="1" x14ac:dyDescent="0.2">
      <c r="C368" s="157"/>
      <c r="D368" s="157"/>
      <c r="E368" s="157"/>
      <c r="F368" s="157"/>
      <c r="G368" s="157"/>
      <c r="H368" s="157"/>
    </row>
    <row r="369" spans="3:8" ht="15.75" customHeight="1" x14ac:dyDescent="0.2">
      <c r="C369" s="157"/>
      <c r="D369" s="157"/>
      <c r="E369" s="157"/>
      <c r="F369" s="157"/>
      <c r="G369" s="157"/>
      <c r="H369" s="157"/>
    </row>
    <row r="370" spans="3:8" ht="15.75" customHeight="1" x14ac:dyDescent="0.2">
      <c r="C370" s="157"/>
      <c r="D370" s="157"/>
      <c r="E370" s="157"/>
      <c r="F370" s="157"/>
      <c r="G370" s="157"/>
      <c r="H370" s="157"/>
    </row>
    <row r="371" spans="3:8" ht="15.75" customHeight="1" x14ac:dyDescent="0.2">
      <c r="C371" s="157"/>
      <c r="D371" s="157"/>
      <c r="E371" s="157"/>
      <c r="F371" s="157"/>
      <c r="G371" s="157"/>
      <c r="H371" s="157"/>
    </row>
    <row r="372" spans="3:8" ht="15.75" customHeight="1" x14ac:dyDescent="0.2">
      <c r="C372" s="157"/>
      <c r="D372" s="157"/>
      <c r="E372" s="157"/>
      <c r="F372" s="157"/>
      <c r="G372" s="157"/>
      <c r="H372" s="157"/>
    </row>
    <row r="373" spans="3:8" ht="15.75" customHeight="1" x14ac:dyDescent="0.2">
      <c r="C373" s="157"/>
      <c r="D373" s="157"/>
      <c r="E373" s="157"/>
      <c r="F373" s="157"/>
      <c r="G373" s="157"/>
      <c r="H373" s="157"/>
    </row>
    <row r="374" spans="3:8" ht="15.75" customHeight="1" x14ac:dyDescent="0.2">
      <c r="C374" s="157"/>
      <c r="D374" s="157"/>
      <c r="E374" s="157"/>
      <c r="F374" s="157"/>
      <c r="G374" s="157"/>
      <c r="H374" s="157"/>
    </row>
    <row r="375" spans="3:8" ht="15.75" customHeight="1" x14ac:dyDescent="0.2">
      <c r="C375" s="157"/>
      <c r="D375" s="157"/>
      <c r="E375" s="157"/>
      <c r="F375" s="157"/>
      <c r="G375" s="157"/>
      <c r="H375" s="157"/>
    </row>
    <row r="376" spans="3:8" ht="15.75" customHeight="1" x14ac:dyDescent="0.2">
      <c r="C376" s="157"/>
      <c r="D376" s="157"/>
      <c r="E376" s="157"/>
      <c r="F376" s="157"/>
      <c r="G376" s="157"/>
      <c r="H376" s="157"/>
    </row>
    <row r="377" spans="3:8" ht="15.75" customHeight="1" x14ac:dyDescent="0.2">
      <c r="C377" s="157"/>
      <c r="D377" s="157"/>
      <c r="E377" s="157"/>
      <c r="F377" s="157"/>
      <c r="G377" s="157"/>
      <c r="H377" s="157"/>
    </row>
    <row r="378" spans="3:8" ht="15.75" customHeight="1" x14ac:dyDescent="0.2">
      <c r="C378" s="157"/>
      <c r="D378" s="157"/>
      <c r="E378" s="157"/>
      <c r="F378" s="157"/>
      <c r="G378" s="157"/>
      <c r="H378" s="157"/>
    </row>
    <row r="379" spans="3:8" ht="15.75" customHeight="1" x14ac:dyDescent="0.2">
      <c r="C379" s="157"/>
      <c r="D379" s="157"/>
      <c r="E379" s="157"/>
      <c r="F379" s="157"/>
      <c r="G379" s="157"/>
      <c r="H379" s="157"/>
    </row>
    <row r="380" spans="3:8" ht="15.75" customHeight="1" x14ac:dyDescent="0.2">
      <c r="C380" s="157"/>
      <c r="D380" s="157"/>
      <c r="E380" s="157"/>
      <c r="F380" s="157"/>
      <c r="G380" s="157"/>
      <c r="H380" s="157"/>
    </row>
    <row r="381" spans="3:8" ht="15.75" customHeight="1" x14ac:dyDescent="0.2">
      <c r="C381" s="157"/>
      <c r="D381" s="157"/>
      <c r="E381" s="157"/>
      <c r="F381" s="157"/>
      <c r="G381" s="157"/>
      <c r="H381" s="157"/>
    </row>
    <row r="382" spans="3:8" ht="15.75" customHeight="1" x14ac:dyDescent="0.2">
      <c r="C382" s="157"/>
      <c r="D382" s="157"/>
      <c r="E382" s="157"/>
      <c r="F382" s="157"/>
      <c r="G382" s="157"/>
      <c r="H382" s="157"/>
    </row>
    <row r="383" spans="3:8" ht="15.75" customHeight="1" x14ac:dyDescent="0.2">
      <c r="C383" s="157"/>
      <c r="D383" s="157"/>
      <c r="E383" s="157"/>
      <c r="F383" s="157"/>
      <c r="G383" s="157"/>
      <c r="H383" s="157"/>
    </row>
    <row r="384" spans="3:8" ht="15.75" customHeight="1" x14ac:dyDescent="0.2">
      <c r="C384" s="157"/>
      <c r="D384" s="157"/>
      <c r="E384" s="157"/>
      <c r="F384" s="157"/>
      <c r="G384" s="157"/>
      <c r="H384" s="157"/>
    </row>
    <row r="385" spans="3:8" ht="15.75" customHeight="1" x14ac:dyDescent="0.2">
      <c r="C385" s="157"/>
      <c r="D385" s="157"/>
      <c r="E385" s="157"/>
      <c r="F385" s="157"/>
      <c r="G385" s="157"/>
      <c r="H385" s="157"/>
    </row>
    <row r="386" spans="3:8" ht="15.75" customHeight="1" x14ac:dyDescent="0.2">
      <c r="C386" s="157"/>
      <c r="D386" s="157"/>
      <c r="E386" s="157"/>
      <c r="F386" s="157"/>
      <c r="G386" s="157"/>
      <c r="H386" s="157"/>
    </row>
    <row r="387" spans="3:8" ht="15.75" customHeight="1" x14ac:dyDescent="0.2">
      <c r="C387" s="157"/>
      <c r="D387" s="157"/>
      <c r="E387" s="157"/>
      <c r="F387" s="157"/>
      <c r="G387" s="157"/>
      <c r="H387" s="157"/>
    </row>
    <row r="388" spans="3:8" ht="15.75" customHeight="1" x14ac:dyDescent="0.2">
      <c r="C388" s="157"/>
      <c r="D388" s="157"/>
      <c r="E388" s="157"/>
      <c r="F388" s="157"/>
      <c r="G388" s="157"/>
      <c r="H388" s="157"/>
    </row>
    <row r="389" spans="3:8" ht="15.75" customHeight="1" x14ac:dyDescent="0.2">
      <c r="C389" s="157"/>
      <c r="D389" s="157"/>
      <c r="E389" s="157"/>
      <c r="F389" s="157"/>
      <c r="G389" s="157"/>
      <c r="H389" s="157"/>
    </row>
    <row r="390" spans="3:8" ht="15.75" customHeight="1" x14ac:dyDescent="0.2">
      <c r="C390" s="157"/>
      <c r="D390" s="157"/>
      <c r="E390" s="157"/>
      <c r="F390" s="157"/>
      <c r="G390" s="157"/>
      <c r="H390" s="157"/>
    </row>
    <row r="391" spans="3:8" ht="15.75" customHeight="1" x14ac:dyDescent="0.2">
      <c r="C391" s="157"/>
      <c r="D391" s="157"/>
      <c r="E391" s="157"/>
      <c r="F391" s="157"/>
      <c r="G391" s="157"/>
      <c r="H391" s="157"/>
    </row>
    <row r="392" spans="3:8" ht="15.75" customHeight="1" x14ac:dyDescent="0.2">
      <c r="C392" s="157"/>
      <c r="D392" s="157"/>
      <c r="E392" s="157"/>
      <c r="F392" s="157"/>
      <c r="G392" s="157"/>
      <c r="H392" s="157"/>
    </row>
    <row r="393" spans="3:8" ht="15.75" customHeight="1" x14ac:dyDescent="0.2">
      <c r="C393" s="157"/>
      <c r="D393" s="157"/>
      <c r="E393" s="157"/>
      <c r="F393" s="157"/>
      <c r="G393" s="157"/>
      <c r="H393" s="157"/>
    </row>
    <row r="394" spans="3:8" ht="15.75" customHeight="1" x14ac:dyDescent="0.2">
      <c r="C394" s="157"/>
      <c r="D394" s="157"/>
      <c r="E394" s="157"/>
      <c r="F394" s="157"/>
      <c r="G394" s="157"/>
      <c r="H394" s="157"/>
    </row>
    <row r="395" spans="3:8" ht="15.75" customHeight="1" x14ac:dyDescent="0.2">
      <c r="C395" s="157"/>
      <c r="D395" s="157"/>
      <c r="E395" s="157"/>
      <c r="F395" s="157"/>
      <c r="G395" s="157"/>
      <c r="H395" s="157"/>
    </row>
    <row r="396" spans="3:8" ht="15.75" customHeight="1" x14ac:dyDescent="0.2">
      <c r="C396" s="157"/>
      <c r="D396" s="157"/>
      <c r="E396" s="157"/>
      <c r="F396" s="157"/>
      <c r="G396" s="157"/>
      <c r="H396" s="157"/>
    </row>
    <row r="397" spans="3:8" ht="15.75" customHeight="1" x14ac:dyDescent="0.2">
      <c r="C397" s="157"/>
      <c r="D397" s="157"/>
      <c r="E397" s="157"/>
      <c r="F397" s="157"/>
      <c r="G397" s="157"/>
      <c r="H397" s="157"/>
    </row>
    <row r="398" spans="3:8" ht="15.75" customHeight="1" x14ac:dyDescent="0.2">
      <c r="C398" s="157"/>
      <c r="D398" s="157"/>
      <c r="E398" s="157"/>
      <c r="F398" s="157"/>
      <c r="G398" s="157"/>
      <c r="H398" s="157"/>
    </row>
    <row r="399" spans="3:8" ht="15.75" customHeight="1" x14ac:dyDescent="0.2">
      <c r="C399" s="157"/>
      <c r="D399" s="157"/>
      <c r="E399" s="157"/>
      <c r="F399" s="157"/>
      <c r="G399" s="157"/>
      <c r="H399" s="157"/>
    </row>
    <row r="400" spans="3:8" ht="15.75" customHeight="1" x14ac:dyDescent="0.2">
      <c r="C400" s="157"/>
      <c r="D400" s="157"/>
      <c r="E400" s="157"/>
      <c r="F400" s="157"/>
      <c r="G400" s="157"/>
      <c r="H400" s="157"/>
    </row>
    <row r="401" spans="3:8" ht="15.75" customHeight="1" x14ac:dyDescent="0.2">
      <c r="C401" s="157"/>
      <c r="D401" s="157"/>
      <c r="E401" s="157"/>
      <c r="F401" s="157"/>
      <c r="G401" s="157"/>
      <c r="H401" s="157"/>
    </row>
    <row r="402" spans="3:8" ht="15.75" customHeight="1" x14ac:dyDescent="0.2">
      <c r="C402" s="157"/>
      <c r="D402" s="157"/>
      <c r="E402" s="157"/>
      <c r="F402" s="157"/>
      <c r="G402" s="157"/>
      <c r="H402" s="157"/>
    </row>
    <row r="403" spans="3:8" ht="15.75" customHeight="1" x14ac:dyDescent="0.2">
      <c r="C403" s="157"/>
      <c r="D403" s="157"/>
      <c r="E403" s="157"/>
      <c r="F403" s="157"/>
      <c r="G403" s="157"/>
      <c r="H403" s="157"/>
    </row>
    <row r="404" spans="3:8" ht="15.75" customHeight="1" x14ac:dyDescent="0.2">
      <c r="C404" s="157"/>
      <c r="D404" s="157"/>
      <c r="E404" s="157"/>
      <c r="F404" s="157"/>
      <c r="G404" s="157"/>
      <c r="H404" s="157"/>
    </row>
    <row r="405" spans="3:8" ht="15.75" customHeight="1" x14ac:dyDescent="0.2">
      <c r="C405" s="157"/>
      <c r="D405" s="157"/>
      <c r="E405" s="157"/>
      <c r="F405" s="157"/>
      <c r="G405" s="157"/>
      <c r="H405" s="157"/>
    </row>
    <row r="406" spans="3:8" ht="15.75" customHeight="1" x14ac:dyDescent="0.2">
      <c r="C406" s="157"/>
      <c r="D406" s="157"/>
      <c r="E406" s="157"/>
      <c r="F406" s="157"/>
      <c r="G406" s="157"/>
      <c r="H406" s="157"/>
    </row>
    <row r="407" spans="3:8" ht="15.75" customHeight="1" x14ac:dyDescent="0.2">
      <c r="C407" s="157"/>
      <c r="D407" s="157"/>
      <c r="E407" s="157"/>
      <c r="F407" s="157"/>
      <c r="G407" s="157"/>
      <c r="H407" s="157"/>
    </row>
    <row r="408" spans="3:8" ht="15.75" customHeight="1" x14ac:dyDescent="0.2">
      <c r="C408" s="157"/>
      <c r="D408" s="157"/>
      <c r="E408" s="157"/>
      <c r="F408" s="157"/>
      <c r="G408" s="157"/>
      <c r="H408" s="157"/>
    </row>
    <row r="409" spans="3:8" ht="15.75" customHeight="1" x14ac:dyDescent="0.2">
      <c r="C409" s="157"/>
      <c r="D409" s="157"/>
      <c r="E409" s="157"/>
      <c r="F409" s="157"/>
      <c r="G409" s="157"/>
      <c r="H409" s="157"/>
    </row>
    <row r="410" spans="3:8" ht="15.75" customHeight="1" x14ac:dyDescent="0.2">
      <c r="C410" s="157"/>
      <c r="D410" s="157"/>
      <c r="E410" s="157"/>
      <c r="F410" s="157"/>
      <c r="G410" s="157"/>
      <c r="H410" s="157"/>
    </row>
    <row r="411" spans="3:8" ht="15.75" customHeight="1" x14ac:dyDescent="0.2">
      <c r="C411" s="157"/>
      <c r="D411" s="157"/>
      <c r="E411" s="157"/>
      <c r="F411" s="157"/>
      <c r="G411" s="157"/>
      <c r="H411" s="157"/>
    </row>
    <row r="412" spans="3:8" ht="15.75" customHeight="1" x14ac:dyDescent="0.2">
      <c r="C412" s="157"/>
      <c r="D412" s="157"/>
      <c r="E412" s="157"/>
      <c r="F412" s="157"/>
      <c r="G412" s="157"/>
      <c r="H412" s="157"/>
    </row>
    <row r="413" spans="3:8" ht="15.75" customHeight="1" x14ac:dyDescent="0.2">
      <c r="C413" s="157"/>
      <c r="D413" s="157"/>
      <c r="E413" s="157"/>
      <c r="F413" s="157"/>
      <c r="G413" s="157"/>
      <c r="H413" s="157"/>
    </row>
    <row r="414" spans="3:8" ht="15.75" customHeight="1" x14ac:dyDescent="0.2">
      <c r="C414" s="157"/>
      <c r="D414" s="157"/>
      <c r="E414" s="157"/>
      <c r="F414" s="157"/>
      <c r="G414" s="157"/>
      <c r="H414" s="157"/>
    </row>
    <row r="415" spans="3:8" ht="15.75" customHeight="1" x14ac:dyDescent="0.2">
      <c r="C415" s="157"/>
      <c r="D415" s="157"/>
      <c r="E415" s="157"/>
      <c r="F415" s="157"/>
      <c r="G415" s="157"/>
      <c r="H415" s="157"/>
    </row>
    <row r="416" spans="3:8" ht="15.75" customHeight="1" x14ac:dyDescent="0.2">
      <c r="C416" s="157"/>
      <c r="D416" s="157"/>
      <c r="E416" s="157"/>
      <c r="F416" s="157"/>
      <c r="G416" s="157"/>
      <c r="H416" s="157"/>
    </row>
    <row r="417" spans="3:8" ht="15.75" customHeight="1" x14ac:dyDescent="0.2">
      <c r="C417" s="157"/>
      <c r="D417" s="157"/>
      <c r="E417" s="157"/>
      <c r="F417" s="157"/>
      <c r="G417" s="157"/>
      <c r="H417" s="157"/>
    </row>
    <row r="418" spans="3:8" ht="15.75" customHeight="1" x14ac:dyDescent="0.2">
      <c r="C418" s="157"/>
      <c r="D418" s="157"/>
      <c r="E418" s="157"/>
      <c r="F418" s="157"/>
      <c r="G418" s="157"/>
      <c r="H418" s="157"/>
    </row>
    <row r="419" spans="3:8" ht="15.75" customHeight="1" x14ac:dyDescent="0.2">
      <c r="C419" s="157"/>
      <c r="D419" s="157"/>
      <c r="E419" s="157"/>
      <c r="F419" s="157"/>
      <c r="G419" s="157"/>
      <c r="H419" s="157"/>
    </row>
    <row r="420" spans="3:8" ht="15.75" customHeight="1" x14ac:dyDescent="0.2">
      <c r="C420" s="157"/>
      <c r="D420" s="157"/>
      <c r="E420" s="157"/>
      <c r="F420" s="157"/>
      <c r="G420" s="157"/>
      <c r="H420" s="157"/>
    </row>
    <row r="421" spans="3:8" ht="15.75" customHeight="1" x14ac:dyDescent="0.2">
      <c r="C421" s="157"/>
      <c r="D421" s="157"/>
      <c r="E421" s="157"/>
      <c r="F421" s="157"/>
      <c r="G421" s="157"/>
      <c r="H421" s="157"/>
    </row>
    <row r="422" spans="3:8" ht="15.75" customHeight="1" x14ac:dyDescent="0.2">
      <c r="C422" s="157"/>
      <c r="D422" s="157"/>
      <c r="E422" s="157"/>
      <c r="F422" s="157"/>
      <c r="G422" s="157"/>
      <c r="H422" s="157"/>
    </row>
    <row r="423" spans="3:8" ht="15.75" customHeight="1" x14ac:dyDescent="0.2">
      <c r="C423" s="157"/>
      <c r="D423" s="157"/>
      <c r="E423" s="157"/>
      <c r="F423" s="157"/>
      <c r="G423" s="157"/>
      <c r="H423" s="157"/>
    </row>
    <row r="424" spans="3:8" ht="15.75" customHeight="1" x14ac:dyDescent="0.2">
      <c r="C424" s="157"/>
      <c r="D424" s="157"/>
      <c r="E424" s="157"/>
      <c r="F424" s="157"/>
      <c r="G424" s="157"/>
      <c r="H424" s="157"/>
    </row>
    <row r="425" spans="3:8" ht="15.75" customHeight="1" x14ac:dyDescent="0.2">
      <c r="C425" s="157"/>
      <c r="D425" s="157"/>
      <c r="E425" s="157"/>
      <c r="F425" s="157"/>
      <c r="G425" s="157"/>
      <c r="H425" s="157"/>
    </row>
    <row r="426" spans="3:8" ht="15.75" customHeight="1" x14ac:dyDescent="0.2">
      <c r="C426" s="157"/>
      <c r="D426" s="157"/>
      <c r="E426" s="157"/>
      <c r="F426" s="157"/>
      <c r="G426" s="157"/>
      <c r="H426" s="157"/>
    </row>
    <row r="427" spans="3:8" ht="15.75" customHeight="1" x14ac:dyDescent="0.2">
      <c r="C427" s="157"/>
      <c r="D427" s="157"/>
      <c r="E427" s="157"/>
      <c r="F427" s="157"/>
      <c r="G427" s="157"/>
      <c r="H427" s="157"/>
    </row>
    <row r="428" spans="3:8" ht="15.75" customHeight="1" x14ac:dyDescent="0.2">
      <c r="C428" s="157"/>
      <c r="D428" s="157"/>
      <c r="E428" s="157"/>
      <c r="F428" s="157"/>
      <c r="G428" s="157"/>
      <c r="H428" s="157"/>
    </row>
    <row r="429" spans="3:8" ht="15.75" customHeight="1" x14ac:dyDescent="0.2">
      <c r="C429" s="157"/>
      <c r="D429" s="157"/>
      <c r="E429" s="157"/>
      <c r="F429" s="157"/>
      <c r="G429" s="157"/>
      <c r="H429" s="157"/>
    </row>
    <row r="430" spans="3:8" ht="15.75" customHeight="1" x14ac:dyDescent="0.2">
      <c r="C430" s="157"/>
      <c r="D430" s="157"/>
      <c r="E430" s="157"/>
      <c r="F430" s="157"/>
      <c r="G430" s="157"/>
      <c r="H430" s="157"/>
    </row>
    <row r="431" spans="3:8" ht="15.75" customHeight="1" x14ac:dyDescent="0.2">
      <c r="C431" s="157"/>
      <c r="D431" s="157"/>
      <c r="E431" s="157"/>
      <c r="F431" s="157"/>
      <c r="G431" s="157"/>
      <c r="H431" s="157"/>
    </row>
    <row r="432" spans="3:8" ht="15.75" customHeight="1" x14ac:dyDescent="0.2">
      <c r="C432" s="157"/>
      <c r="D432" s="157"/>
      <c r="E432" s="157"/>
      <c r="F432" s="157"/>
      <c r="G432" s="157"/>
      <c r="H432" s="157"/>
    </row>
    <row r="433" spans="3:8" ht="15.75" customHeight="1" x14ac:dyDescent="0.2">
      <c r="C433" s="157"/>
      <c r="D433" s="157"/>
      <c r="E433" s="157"/>
      <c r="F433" s="157"/>
      <c r="G433" s="157"/>
      <c r="H433" s="157"/>
    </row>
    <row r="434" spans="3:8" ht="15.75" customHeight="1" x14ac:dyDescent="0.2">
      <c r="C434" s="157"/>
      <c r="D434" s="157"/>
      <c r="E434" s="157"/>
      <c r="F434" s="157"/>
      <c r="G434" s="157"/>
      <c r="H434" s="157"/>
    </row>
    <row r="435" spans="3:8" ht="15.75" customHeight="1" x14ac:dyDescent="0.2">
      <c r="C435" s="157"/>
      <c r="D435" s="157"/>
      <c r="E435" s="157"/>
      <c r="F435" s="157"/>
      <c r="G435" s="157"/>
      <c r="H435" s="157"/>
    </row>
    <row r="436" spans="3:8" ht="15.75" customHeight="1" x14ac:dyDescent="0.2">
      <c r="C436" s="157"/>
      <c r="D436" s="157"/>
      <c r="E436" s="157"/>
      <c r="F436" s="157"/>
      <c r="G436" s="157"/>
      <c r="H436" s="157"/>
    </row>
    <row r="437" spans="3:8" ht="15.75" customHeight="1" x14ac:dyDescent="0.2">
      <c r="C437" s="157"/>
      <c r="D437" s="157"/>
      <c r="E437" s="157"/>
      <c r="F437" s="157"/>
      <c r="G437" s="157"/>
      <c r="H437" s="157"/>
    </row>
    <row r="438" spans="3:8" ht="15.75" customHeight="1" x14ac:dyDescent="0.2">
      <c r="C438" s="157"/>
      <c r="D438" s="157"/>
      <c r="E438" s="157"/>
      <c r="F438" s="157"/>
      <c r="G438" s="157"/>
      <c r="H438" s="157"/>
    </row>
    <row r="439" spans="3:8" ht="15.75" customHeight="1" x14ac:dyDescent="0.2">
      <c r="C439" s="157"/>
      <c r="D439" s="157"/>
      <c r="E439" s="157"/>
      <c r="F439" s="157"/>
      <c r="G439" s="157"/>
      <c r="H439" s="157"/>
    </row>
    <row r="440" spans="3:8" ht="15.75" customHeight="1" x14ac:dyDescent="0.2">
      <c r="C440" s="157"/>
      <c r="D440" s="157"/>
      <c r="E440" s="157"/>
      <c r="F440" s="157"/>
      <c r="G440" s="157"/>
      <c r="H440" s="157"/>
    </row>
    <row r="441" spans="3:8" ht="15.75" customHeight="1" x14ac:dyDescent="0.2">
      <c r="C441" s="157"/>
      <c r="D441" s="157"/>
      <c r="E441" s="157"/>
      <c r="F441" s="157"/>
      <c r="G441" s="157"/>
      <c r="H441" s="157"/>
    </row>
    <row r="442" spans="3:8" ht="15.75" customHeight="1" x14ac:dyDescent="0.2">
      <c r="C442" s="157"/>
      <c r="D442" s="157"/>
      <c r="E442" s="157"/>
      <c r="F442" s="157"/>
      <c r="G442" s="157"/>
      <c r="H442" s="157"/>
    </row>
    <row r="443" spans="3:8" ht="15.75" customHeight="1" x14ac:dyDescent="0.2">
      <c r="C443" s="157"/>
      <c r="D443" s="157"/>
      <c r="E443" s="157"/>
      <c r="F443" s="157"/>
      <c r="G443" s="157"/>
      <c r="H443" s="157"/>
    </row>
    <row r="444" spans="3:8" ht="15.75" customHeight="1" x14ac:dyDescent="0.2">
      <c r="C444" s="157"/>
      <c r="D444" s="157"/>
      <c r="E444" s="157"/>
      <c r="F444" s="157"/>
      <c r="G444" s="157"/>
      <c r="H444" s="157"/>
    </row>
    <row r="445" spans="3:8" ht="15.75" customHeight="1" x14ac:dyDescent="0.2">
      <c r="C445" s="157"/>
      <c r="D445" s="157"/>
      <c r="E445" s="157"/>
      <c r="F445" s="157"/>
      <c r="G445" s="157"/>
      <c r="H445" s="157"/>
    </row>
    <row r="446" spans="3:8" ht="15.75" customHeight="1" x14ac:dyDescent="0.2">
      <c r="C446" s="157"/>
      <c r="D446" s="157"/>
      <c r="E446" s="157"/>
      <c r="F446" s="157"/>
      <c r="G446" s="157"/>
      <c r="H446" s="157"/>
    </row>
    <row r="447" spans="3:8" ht="15.75" customHeight="1" x14ac:dyDescent="0.2">
      <c r="C447" s="157"/>
      <c r="D447" s="157"/>
      <c r="E447" s="157"/>
      <c r="F447" s="157"/>
      <c r="G447" s="157"/>
      <c r="H447" s="157"/>
    </row>
    <row r="448" spans="3:8" ht="15.75" customHeight="1" x14ac:dyDescent="0.2">
      <c r="C448" s="157"/>
      <c r="D448" s="157"/>
      <c r="E448" s="157"/>
      <c r="F448" s="157"/>
      <c r="G448" s="157"/>
      <c r="H448" s="157"/>
    </row>
    <row r="449" spans="3:8" ht="15.75" customHeight="1" x14ac:dyDescent="0.2">
      <c r="C449" s="157"/>
      <c r="D449" s="157"/>
      <c r="E449" s="157"/>
      <c r="F449" s="157"/>
      <c r="G449" s="157"/>
      <c r="H449" s="157"/>
    </row>
    <row r="450" spans="3:8" ht="15.75" customHeight="1" x14ac:dyDescent="0.2">
      <c r="C450" s="157"/>
      <c r="D450" s="157"/>
      <c r="E450" s="157"/>
      <c r="F450" s="157"/>
      <c r="G450" s="157"/>
      <c r="H450" s="157"/>
    </row>
    <row r="451" spans="3:8" ht="15.75" customHeight="1" x14ac:dyDescent="0.2">
      <c r="C451" s="157"/>
      <c r="D451" s="157"/>
      <c r="E451" s="157"/>
      <c r="F451" s="157"/>
      <c r="G451" s="157"/>
      <c r="H451" s="157"/>
    </row>
    <row r="452" spans="3:8" ht="15.75" customHeight="1" x14ac:dyDescent="0.2">
      <c r="C452" s="157"/>
      <c r="D452" s="157"/>
      <c r="E452" s="157"/>
      <c r="F452" s="157"/>
      <c r="G452" s="157"/>
      <c r="H452" s="157"/>
    </row>
    <row r="453" spans="3:8" ht="15.75" customHeight="1" x14ac:dyDescent="0.2">
      <c r="C453" s="157"/>
      <c r="D453" s="157"/>
      <c r="E453" s="157"/>
      <c r="F453" s="157"/>
      <c r="G453" s="157"/>
      <c r="H453" s="157"/>
    </row>
    <row r="454" spans="3:8" ht="15.75" customHeight="1" x14ac:dyDescent="0.2">
      <c r="C454" s="157"/>
      <c r="D454" s="157"/>
      <c r="E454" s="157"/>
      <c r="F454" s="157"/>
      <c r="G454" s="157"/>
      <c r="H454" s="157"/>
    </row>
    <row r="455" spans="3:8" ht="15.75" customHeight="1" x14ac:dyDescent="0.2">
      <c r="C455" s="157"/>
      <c r="D455" s="157"/>
      <c r="E455" s="157"/>
      <c r="F455" s="157"/>
      <c r="G455" s="157"/>
      <c r="H455" s="157"/>
    </row>
    <row r="456" spans="3:8" ht="15.75" customHeight="1" x14ac:dyDescent="0.2">
      <c r="C456" s="157"/>
      <c r="D456" s="157"/>
      <c r="E456" s="157"/>
      <c r="F456" s="157"/>
      <c r="G456" s="157"/>
      <c r="H456" s="157"/>
    </row>
    <row r="457" spans="3:8" ht="15.75" customHeight="1" x14ac:dyDescent="0.2">
      <c r="C457" s="157"/>
      <c r="D457" s="157"/>
      <c r="E457" s="157"/>
      <c r="F457" s="157"/>
      <c r="G457" s="157"/>
      <c r="H457" s="157"/>
    </row>
    <row r="458" spans="3:8" ht="15.75" customHeight="1" x14ac:dyDescent="0.2">
      <c r="C458" s="157"/>
      <c r="D458" s="157"/>
      <c r="E458" s="157"/>
      <c r="F458" s="157"/>
      <c r="G458" s="157"/>
      <c r="H458" s="157"/>
    </row>
    <row r="459" spans="3:8" ht="15.75" customHeight="1" x14ac:dyDescent="0.2">
      <c r="C459" s="157"/>
      <c r="D459" s="157"/>
      <c r="E459" s="157"/>
      <c r="F459" s="157"/>
      <c r="G459" s="157"/>
      <c r="H459" s="157"/>
    </row>
    <row r="460" spans="3:8" ht="15.75" customHeight="1" x14ac:dyDescent="0.2">
      <c r="C460" s="157"/>
      <c r="D460" s="157"/>
      <c r="E460" s="157"/>
      <c r="F460" s="157"/>
      <c r="G460" s="157"/>
      <c r="H460" s="157"/>
    </row>
    <row r="461" spans="3:8" ht="15.75" customHeight="1" x14ac:dyDescent="0.2">
      <c r="C461" s="157"/>
      <c r="D461" s="157"/>
      <c r="E461" s="157"/>
      <c r="F461" s="157"/>
      <c r="G461" s="157"/>
      <c r="H461" s="157"/>
    </row>
    <row r="462" spans="3:8" ht="15.75" customHeight="1" x14ac:dyDescent="0.2">
      <c r="C462" s="157"/>
      <c r="D462" s="157"/>
      <c r="E462" s="157"/>
      <c r="F462" s="157"/>
      <c r="G462" s="157"/>
      <c r="H462" s="157"/>
    </row>
    <row r="463" spans="3:8" ht="15.75" customHeight="1" x14ac:dyDescent="0.2">
      <c r="C463" s="157"/>
      <c r="D463" s="157"/>
      <c r="E463" s="157"/>
      <c r="F463" s="157"/>
      <c r="G463" s="157"/>
      <c r="H463" s="157"/>
    </row>
    <row r="464" spans="3:8" ht="15.75" customHeight="1" x14ac:dyDescent="0.2">
      <c r="C464" s="157"/>
      <c r="D464" s="157"/>
      <c r="E464" s="157"/>
      <c r="F464" s="157"/>
      <c r="G464" s="157"/>
      <c r="H464" s="157"/>
    </row>
    <row r="465" spans="3:8" ht="15.75" customHeight="1" x14ac:dyDescent="0.2">
      <c r="C465" s="157"/>
      <c r="D465" s="157"/>
      <c r="E465" s="157"/>
      <c r="F465" s="157"/>
      <c r="G465" s="157"/>
      <c r="H465" s="157"/>
    </row>
    <row r="466" spans="3:8" ht="15.75" customHeight="1" x14ac:dyDescent="0.2">
      <c r="C466" s="157"/>
      <c r="D466" s="157"/>
      <c r="E466" s="157"/>
      <c r="F466" s="157"/>
      <c r="G466" s="157"/>
      <c r="H466" s="157"/>
    </row>
    <row r="467" spans="3:8" ht="15.75" customHeight="1" x14ac:dyDescent="0.2">
      <c r="C467" s="157"/>
      <c r="D467" s="157"/>
      <c r="E467" s="157"/>
      <c r="F467" s="157"/>
      <c r="G467" s="157"/>
      <c r="H467" s="157"/>
    </row>
    <row r="468" spans="3:8" ht="15.75" customHeight="1" x14ac:dyDescent="0.2">
      <c r="C468" s="157"/>
      <c r="D468" s="157"/>
      <c r="E468" s="157"/>
      <c r="F468" s="157"/>
      <c r="G468" s="157"/>
      <c r="H468" s="157"/>
    </row>
    <row r="469" spans="3:8" ht="15.75" customHeight="1" x14ac:dyDescent="0.2">
      <c r="C469" s="157"/>
      <c r="D469" s="157"/>
      <c r="E469" s="157"/>
      <c r="F469" s="157"/>
      <c r="G469" s="157"/>
      <c r="H469" s="157"/>
    </row>
    <row r="470" spans="3:8" ht="15.75" customHeight="1" x14ac:dyDescent="0.2">
      <c r="C470" s="157"/>
      <c r="D470" s="157"/>
      <c r="E470" s="157"/>
      <c r="F470" s="157"/>
      <c r="G470" s="157"/>
      <c r="H470" s="157"/>
    </row>
    <row r="471" spans="3:8" ht="15.75" customHeight="1" x14ac:dyDescent="0.2">
      <c r="C471" s="157"/>
      <c r="D471" s="157"/>
      <c r="E471" s="157"/>
      <c r="F471" s="157"/>
      <c r="G471" s="157"/>
      <c r="H471" s="157"/>
    </row>
    <row r="472" spans="3:8" ht="15.75" customHeight="1" x14ac:dyDescent="0.2">
      <c r="C472" s="157"/>
      <c r="D472" s="157"/>
      <c r="E472" s="157"/>
      <c r="F472" s="157"/>
      <c r="G472" s="157"/>
      <c r="H472" s="157"/>
    </row>
    <row r="473" spans="3:8" ht="15.75" customHeight="1" x14ac:dyDescent="0.2">
      <c r="C473" s="157"/>
      <c r="D473" s="157"/>
      <c r="E473" s="157"/>
      <c r="F473" s="157"/>
      <c r="G473" s="157"/>
      <c r="H473" s="157"/>
    </row>
    <row r="474" spans="3:8" ht="15.75" customHeight="1" x14ac:dyDescent="0.2">
      <c r="C474" s="157"/>
      <c r="D474" s="157"/>
      <c r="E474" s="157"/>
      <c r="F474" s="157"/>
      <c r="G474" s="157"/>
      <c r="H474" s="157"/>
    </row>
    <row r="475" spans="3:8" ht="15.75" customHeight="1" x14ac:dyDescent="0.2">
      <c r="C475" s="157"/>
      <c r="D475" s="157"/>
      <c r="E475" s="157"/>
      <c r="F475" s="157"/>
      <c r="G475" s="157"/>
      <c r="H475" s="157"/>
    </row>
    <row r="476" spans="3:8" ht="15.75" customHeight="1" x14ac:dyDescent="0.2">
      <c r="C476" s="157"/>
      <c r="D476" s="157"/>
      <c r="E476" s="157"/>
      <c r="F476" s="157"/>
      <c r="G476" s="157"/>
      <c r="H476" s="157"/>
    </row>
    <row r="477" spans="3:8" ht="15.75" customHeight="1" x14ac:dyDescent="0.2">
      <c r="C477" s="157"/>
      <c r="D477" s="157"/>
      <c r="E477" s="157"/>
      <c r="F477" s="157"/>
      <c r="G477" s="157"/>
      <c r="H477" s="157"/>
    </row>
    <row r="478" spans="3:8" ht="15.75" customHeight="1" x14ac:dyDescent="0.2">
      <c r="C478" s="157"/>
      <c r="D478" s="157"/>
      <c r="E478" s="157"/>
      <c r="F478" s="157"/>
      <c r="G478" s="157"/>
      <c r="H478" s="157"/>
    </row>
    <row r="479" spans="3:8" ht="15.75" customHeight="1" x14ac:dyDescent="0.2">
      <c r="C479" s="157"/>
      <c r="D479" s="157"/>
      <c r="E479" s="157"/>
      <c r="F479" s="157"/>
      <c r="G479" s="157"/>
      <c r="H479" s="157"/>
    </row>
    <row r="480" spans="3:8" ht="15.75" customHeight="1" x14ac:dyDescent="0.2">
      <c r="C480" s="157"/>
      <c r="D480" s="157"/>
      <c r="E480" s="157"/>
      <c r="F480" s="157"/>
      <c r="G480" s="157"/>
      <c r="H480" s="157"/>
    </row>
    <row r="481" spans="3:8" ht="15.75" customHeight="1" x14ac:dyDescent="0.2">
      <c r="C481" s="157"/>
      <c r="D481" s="157"/>
      <c r="E481" s="157"/>
      <c r="F481" s="157"/>
      <c r="G481" s="157"/>
      <c r="H481" s="157"/>
    </row>
    <row r="482" spans="3:8" ht="15.75" customHeight="1" x14ac:dyDescent="0.2">
      <c r="C482" s="157"/>
      <c r="D482" s="157"/>
      <c r="E482" s="157"/>
      <c r="F482" s="157"/>
      <c r="G482" s="157"/>
      <c r="H482" s="157"/>
    </row>
    <row r="483" spans="3:8" ht="15.75" customHeight="1" x14ac:dyDescent="0.2">
      <c r="C483" s="157"/>
      <c r="D483" s="157"/>
      <c r="E483" s="157"/>
      <c r="F483" s="157"/>
      <c r="G483" s="157"/>
      <c r="H483" s="157"/>
    </row>
    <row r="484" spans="3:8" ht="15.75" customHeight="1" x14ac:dyDescent="0.2">
      <c r="C484" s="157"/>
      <c r="D484" s="157"/>
      <c r="E484" s="157"/>
      <c r="F484" s="157"/>
      <c r="G484" s="157"/>
      <c r="H484" s="157"/>
    </row>
    <row r="485" spans="3:8" ht="15.75" customHeight="1" x14ac:dyDescent="0.2">
      <c r="C485" s="157"/>
      <c r="D485" s="157"/>
      <c r="E485" s="157"/>
      <c r="F485" s="157"/>
      <c r="G485" s="157"/>
      <c r="H485" s="157"/>
    </row>
    <row r="486" spans="3:8" ht="15.75" customHeight="1" x14ac:dyDescent="0.2">
      <c r="C486" s="157"/>
      <c r="D486" s="157"/>
      <c r="E486" s="157"/>
      <c r="F486" s="157"/>
      <c r="G486" s="157"/>
      <c r="H486" s="157"/>
    </row>
    <row r="487" spans="3:8" ht="15.75" customHeight="1" x14ac:dyDescent="0.2">
      <c r="C487" s="157"/>
      <c r="D487" s="157"/>
      <c r="E487" s="157"/>
      <c r="F487" s="157"/>
      <c r="G487" s="157"/>
      <c r="H487" s="157"/>
    </row>
    <row r="488" spans="3:8" ht="15.75" customHeight="1" x14ac:dyDescent="0.2">
      <c r="C488" s="157"/>
      <c r="D488" s="157"/>
      <c r="E488" s="157"/>
      <c r="F488" s="157"/>
      <c r="G488" s="157"/>
      <c r="H488" s="157"/>
    </row>
    <row r="489" spans="3:8" ht="15.75" customHeight="1" x14ac:dyDescent="0.2">
      <c r="C489" s="157"/>
      <c r="D489" s="157"/>
      <c r="E489" s="157"/>
      <c r="F489" s="157"/>
      <c r="G489" s="157"/>
      <c r="H489" s="157"/>
    </row>
    <row r="490" spans="3:8" ht="15.75" customHeight="1" x14ac:dyDescent="0.2">
      <c r="C490" s="157"/>
      <c r="D490" s="157"/>
      <c r="E490" s="157"/>
      <c r="F490" s="157"/>
      <c r="G490" s="157"/>
      <c r="H490" s="157"/>
    </row>
    <row r="491" spans="3:8" ht="15.75" customHeight="1" x14ac:dyDescent="0.2">
      <c r="C491" s="157"/>
      <c r="D491" s="157"/>
      <c r="E491" s="157"/>
      <c r="F491" s="157"/>
      <c r="G491" s="157"/>
      <c r="H491" s="157"/>
    </row>
    <row r="492" spans="3:8" ht="15.75" customHeight="1" x14ac:dyDescent="0.2">
      <c r="C492" s="157"/>
      <c r="D492" s="157"/>
      <c r="E492" s="157"/>
      <c r="F492" s="157"/>
      <c r="G492" s="157"/>
      <c r="H492" s="157"/>
    </row>
    <row r="493" spans="3:8" ht="15.75" customHeight="1" x14ac:dyDescent="0.2">
      <c r="C493" s="157"/>
      <c r="D493" s="157"/>
      <c r="E493" s="157"/>
      <c r="F493" s="157"/>
      <c r="G493" s="157"/>
      <c r="H493" s="157"/>
    </row>
    <row r="494" spans="3:8" ht="15.75" customHeight="1" x14ac:dyDescent="0.2">
      <c r="C494" s="157"/>
      <c r="D494" s="157"/>
      <c r="E494" s="157"/>
      <c r="F494" s="157"/>
      <c r="G494" s="157"/>
      <c r="H494" s="157"/>
    </row>
    <row r="495" spans="3:8" ht="15.75" customHeight="1" x14ac:dyDescent="0.2">
      <c r="C495" s="157"/>
      <c r="D495" s="157"/>
      <c r="E495" s="157"/>
      <c r="F495" s="157"/>
      <c r="G495" s="157"/>
      <c r="H495" s="157"/>
    </row>
    <row r="496" spans="3:8" ht="15.75" customHeight="1" x14ac:dyDescent="0.2">
      <c r="C496" s="157"/>
      <c r="D496" s="157"/>
      <c r="E496" s="157"/>
      <c r="F496" s="157"/>
      <c r="G496" s="157"/>
      <c r="H496" s="157"/>
    </row>
    <row r="497" spans="3:8" ht="15.75" customHeight="1" x14ac:dyDescent="0.2">
      <c r="C497" s="157"/>
      <c r="D497" s="157"/>
      <c r="E497" s="157"/>
      <c r="F497" s="157"/>
      <c r="G497" s="157"/>
      <c r="H497" s="157"/>
    </row>
    <row r="498" spans="3:8" ht="15.75" customHeight="1" x14ac:dyDescent="0.2">
      <c r="C498" s="157"/>
      <c r="D498" s="157"/>
      <c r="E498" s="157"/>
      <c r="F498" s="157"/>
      <c r="G498" s="157"/>
      <c r="H498" s="157"/>
    </row>
    <row r="499" spans="3:8" ht="15.75" customHeight="1" x14ac:dyDescent="0.2">
      <c r="C499" s="157"/>
      <c r="D499" s="157"/>
      <c r="E499" s="157"/>
      <c r="F499" s="157"/>
      <c r="G499" s="157"/>
      <c r="H499" s="157"/>
    </row>
    <row r="500" spans="3:8" ht="15.75" customHeight="1" x14ac:dyDescent="0.2">
      <c r="C500" s="157"/>
      <c r="D500" s="157"/>
      <c r="E500" s="157"/>
      <c r="F500" s="157"/>
      <c r="G500" s="157"/>
      <c r="H500" s="157"/>
    </row>
    <row r="501" spans="3:8" ht="15.75" customHeight="1" x14ac:dyDescent="0.2">
      <c r="C501" s="157"/>
      <c r="D501" s="157"/>
      <c r="E501" s="157"/>
      <c r="F501" s="157"/>
      <c r="G501" s="157"/>
      <c r="H501" s="157"/>
    </row>
    <row r="502" spans="3:8" ht="15.75" customHeight="1" x14ac:dyDescent="0.2">
      <c r="C502" s="157"/>
      <c r="D502" s="157"/>
      <c r="E502" s="157"/>
      <c r="F502" s="157"/>
      <c r="G502" s="157"/>
      <c r="H502" s="157"/>
    </row>
    <row r="503" spans="3:8" ht="15.75" customHeight="1" x14ac:dyDescent="0.2">
      <c r="C503" s="157"/>
      <c r="D503" s="157"/>
      <c r="E503" s="157"/>
      <c r="F503" s="157"/>
      <c r="G503" s="157"/>
      <c r="H503" s="157"/>
    </row>
    <row r="504" spans="3:8" ht="15.75" customHeight="1" x14ac:dyDescent="0.2">
      <c r="C504" s="157"/>
      <c r="D504" s="157"/>
      <c r="E504" s="157"/>
      <c r="F504" s="157"/>
      <c r="G504" s="157"/>
      <c r="H504" s="157"/>
    </row>
    <row r="505" spans="3:8" ht="15.75" customHeight="1" x14ac:dyDescent="0.2">
      <c r="C505" s="157"/>
      <c r="D505" s="157"/>
      <c r="E505" s="157"/>
      <c r="F505" s="157"/>
      <c r="G505" s="157"/>
      <c r="H505" s="157"/>
    </row>
    <row r="506" spans="3:8" ht="15.75" customHeight="1" x14ac:dyDescent="0.2">
      <c r="C506" s="157"/>
      <c r="D506" s="157"/>
      <c r="E506" s="157"/>
      <c r="F506" s="157"/>
      <c r="G506" s="157"/>
      <c r="H506" s="157"/>
    </row>
    <row r="507" spans="3:8" ht="15.75" customHeight="1" x14ac:dyDescent="0.2">
      <c r="C507" s="157"/>
      <c r="D507" s="157"/>
      <c r="E507" s="157"/>
      <c r="F507" s="157"/>
      <c r="G507" s="157"/>
      <c r="H507" s="157"/>
    </row>
    <row r="508" spans="3:8" ht="15.75" customHeight="1" x14ac:dyDescent="0.2">
      <c r="C508" s="157"/>
      <c r="D508" s="157"/>
      <c r="E508" s="157"/>
      <c r="F508" s="157"/>
      <c r="G508" s="157"/>
      <c r="H508" s="157"/>
    </row>
    <row r="509" spans="3:8" ht="15.75" customHeight="1" x14ac:dyDescent="0.2">
      <c r="C509" s="157"/>
      <c r="D509" s="157"/>
      <c r="E509" s="157"/>
      <c r="F509" s="157"/>
      <c r="G509" s="157"/>
      <c r="H509" s="157"/>
    </row>
    <row r="510" spans="3:8" ht="15.75" customHeight="1" x14ac:dyDescent="0.2">
      <c r="C510" s="157"/>
      <c r="D510" s="157"/>
      <c r="E510" s="157"/>
      <c r="F510" s="157"/>
      <c r="G510" s="157"/>
      <c r="H510" s="157"/>
    </row>
    <row r="511" spans="3:8" ht="15.75" customHeight="1" x14ac:dyDescent="0.2">
      <c r="C511" s="157"/>
      <c r="D511" s="157"/>
      <c r="E511" s="157"/>
      <c r="F511" s="157"/>
      <c r="G511" s="157"/>
      <c r="H511" s="157"/>
    </row>
    <row r="512" spans="3:8" ht="15.75" customHeight="1" x14ac:dyDescent="0.2">
      <c r="C512" s="157"/>
      <c r="D512" s="157"/>
      <c r="E512" s="157"/>
      <c r="F512" s="157"/>
      <c r="G512" s="157"/>
      <c r="H512" s="157"/>
    </row>
    <row r="513" spans="3:8" ht="15.75" customHeight="1" x14ac:dyDescent="0.2">
      <c r="C513" s="157"/>
      <c r="D513" s="157"/>
      <c r="E513" s="157"/>
      <c r="F513" s="157"/>
      <c r="G513" s="157"/>
      <c r="H513" s="157"/>
    </row>
    <row r="514" spans="3:8" ht="15.75" customHeight="1" x14ac:dyDescent="0.2">
      <c r="C514" s="157"/>
      <c r="D514" s="157"/>
      <c r="E514" s="157"/>
      <c r="F514" s="157"/>
      <c r="G514" s="157"/>
      <c r="H514" s="157"/>
    </row>
    <row r="515" spans="3:8" ht="15.75" customHeight="1" x14ac:dyDescent="0.2">
      <c r="C515" s="157"/>
      <c r="D515" s="157"/>
      <c r="E515" s="157"/>
      <c r="F515" s="157"/>
      <c r="G515" s="157"/>
      <c r="H515" s="157"/>
    </row>
    <row r="516" spans="3:8" ht="15.75" customHeight="1" x14ac:dyDescent="0.2">
      <c r="C516" s="157"/>
      <c r="D516" s="157"/>
      <c r="E516" s="157"/>
      <c r="F516" s="157"/>
      <c r="G516" s="157"/>
      <c r="H516" s="157"/>
    </row>
    <row r="517" spans="3:8" ht="15.75" customHeight="1" x14ac:dyDescent="0.2">
      <c r="C517" s="157"/>
      <c r="D517" s="157"/>
      <c r="E517" s="157"/>
      <c r="F517" s="157"/>
      <c r="G517" s="157"/>
      <c r="H517" s="157"/>
    </row>
    <row r="518" spans="3:8" ht="15.75" customHeight="1" x14ac:dyDescent="0.2">
      <c r="C518" s="157"/>
      <c r="D518" s="157"/>
      <c r="E518" s="157"/>
      <c r="F518" s="157"/>
      <c r="G518" s="157"/>
      <c r="H518" s="157"/>
    </row>
    <row r="519" spans="3:8" ht="15.75" customHeight="1" x14ac:dyDescent="0.2">
      <c r="C519" s="157"/>
      <c r="D519" s="157"/>
      <c r="E519" s="157"/>
      <c r="F519" s="157"/>
      <c r="G519" s="157"/>
      <c r="H519" s="157"/>
    </row>
    <row r="520" spans="3:8" ht="15.75" customHeight="1" x14ac:dyDescent="0.2">
      <c r="C520" s="157"/>
      <c r="D520" s="157"/>
      <c r="E520" s="157"/>
      <c r="F520" s="157"/>
      <c r="G520" s="157"/>
      <c r="H520" s="157"/>
    </row>
    <row r="521" spans="3:8" ht="15.75" customHeight="1" x14ac:dyDescent="0.2">
      <c r="C521" s="157"/>
      <c r="D521" s="157"/>
      <c r="E521" s="157"/>
      <c r="F521" s="157"/>
      <c r="G521" s="157"/>
      <c r="H521" s="157"/>
    </row>
    <row r="522" spans="3:8" ht="15.75" customHeight="1" x14ac:dyDescent="0.2">
      <c r="C522" s="157"/>
      <c r="D522" s="157"/>
      <c r="E522" s="157"/>
      <c r="F522" s="157"/>
      <c r="G522" s="157"/>
      <c r="H522" s="157"/>
    </row>
    <row r="523" spans="3:8" ht="15.75" customHeight="1" x14ac:dyDescent="0.2">
      <c r="C523" s="157"/>
      <c r="D523" s="157"/>
      <c r="E523" s="157"/>
      <c r="F523" s="157"/>
      <c r="G523" s="157"/>
      <c r="H523" s="157"/>
    </row>
    <row r="524" spans="3:8" ht="15.75" customHeight="1" x14ac:dyDescent="0.2">
      <c r="C524" s="157"/>
      <c r="D524" s="157"/>
      <c r="E524" s="157"/>
      <c r="F524" s="157"/>
      <c r="G524" s="157"/>
      <c r="H524" s="157"/>
    </row>
    <row r="525" spans="3:8" ht="15.75" customHeight="1" x14ac:dyDescent="0.2">
      <c r="C525" s="157"/>
      <c r="D525" s="157"/>
      <c r="E525" s="157"/>
      <c r="F525" s="157"/>
      <c r="G525" s="157"/>
      <c r="H525" s="157"/>
    </row>
    <row r="526" spans="3:8" ht="15.75" customHeight="1" x14ac:dyDescent="0.2">
      <c r="C526" s="157"/>
      <c r="D526" s="157"/>
      <c r="E526" s="157"/>
      <c r="F526" s="157"/>
      <c r="G526" s="157"/>
      <c r="H526" s="157"/>
    </row>
    <row r="527" spans="3:8" ht="15.75" customHeight="1" x14ac:dyDescent="0.2">
      <c r="C527" s="157"/>
      <c r="D527" s="157"/>
      <c r="E527" s="157"/>
      <c r="F527" s="157"/>
      <c r="G527" s="157"/>
      <c r="H527" s="157"/>
    </row>
    <row r="528" spans="3:8" ht="15.75" customHeight="1" x14ac:dyDescent="0.2">
      <c r="C528" s="157"/>
      <c r="D528" s="157"/>
      <c r="E528" s="157"/>
      <c r="F528" s="157"/>
      <c r="G528" s="157"/>
      <c r="H528" s="157"/>
    </row>
    <row r="529" spans="3:8" ht="15.75" customHeight="1" x14ac:dyDescent="0.2">
      <c r="C529" s="157"/>
      <c r="D529" s="157"/>
      <c r="E529" s="157"/>
      <c r="F529" s="157"/>
      <c r="G529" s="157"/>
      <c r="H529" s="157"/>
    </row>
    <row r="530" spans="3:8" ht="15.75" customHeight="1" x14ac:dyDescent="0.2">
      <c r="C530" s="157"/>
      <c r="D530" s="157"/>
      <c r="E530" s="157"/>
      <c r="F530" s="157"/>
      <c r="G530" s="157"/>
      <c r="H530" s="157"/>
    </row>
    <row r="531" spans="3:8" ht="15.75" customHeight="1" x14ac:dyDescent="0.2">
      <c r="C531" s="157"/>
      <c r="D531" s="157"/>
      <c r="E531" s="157"/>
      <c r="F531" s="157"/>
      <c r="G531" s="157"/>
      <c r="H531" s="157"/>
    </row>
    <row r="532" spans="3:8" ht="15.75" customHeight="1" x14ac:dyDescent="0.2">
      <c r="C532" s="157"/>
      <c r="D532" s="157"/>
      <c r="E532" s="157"/>
      <c r="F532" s="157"/>
      <c r="G532" s="157"/>
      <c r="H532" s="157"/>
    </row>
    <row r="533" spans="3:8" ht="15.75" customHeight="1" x14ac:dyDescent="0.2">
      <c r="C533" s="157"/>
      <c r="D533" s="157"/>
      <c r="E533" s="157"/>
      <c r="F533" s="157"/>
      <c r="G533" s="157"/>
      <c r="H533" s="157"/>
    </row>
    <row r="534" spans="3:8" ht="15.75" customHeight="1" x14ac:dyDescent="0.2">
      <c r="C534" s="157"/>
      <c r="D534" s="157"/>
      <c r="E534" s="157"/>
      <c r="F534" s="157"/>
      <c r="G534" s="157"/>
      <c r="H534" s="157"/>
    </row>
    <row r="535" spans="3:8" ht="15.75" customHeight="1" x14ac:dyDescent="0.2">
      <c r="C535" s="157"/>
      <c r="D535" s="157"/>
      <c r="E535" s="157"/>
      <c r="F535" s="157"/>
      <c r="G535" s="157"/>
      <c r="H535" s="157"/>
    </row>
    <row r="536" spans="3:8" ht="15.75" customHeight="1" x14ac:dyDescent="0.2">
      <c r="C536" s="157"/>
      <c r="D536" s="157"/>
      <c r="E536" s="157"/>
      <c r="F536" s="157"/>
      <c r="G536" s="157"/>
      <c r="H536" s="157"/>
    </row>
    <row r="537" spans="3:8" ht="15.75" customHeight="1" x14ac:dyDescent="0.2">
      <c r="C537" s="157"/>
      <c r="D537" s="157"/>
      <c r="E537" s="157"/>
      <c r="F537" s="157"/>
      <c r="G537" s="157"/>
      <c r="H537" s="157"/>
    </row>
    <row r="538" spans="3:8" ht="15.75" customHeight="1" x14ac:dyDescent="0.2">
      <c r="C538" s="157"/>
      <c r="D538" s="157"/>
      <c r="E538" s="157"/>
      <c r="F538" s="157"/>
      <c r="G538" s="157"/>
      <c r="H538" s="157"/>
    </row>
    <row r="539" spans="3:8" ht="15.75" customHeight="1" x14ac:dyDescent="0.2">
      <c r="C539" s="157"/>
      <c r="D539" s="157"/>
      <c r="E539" s="157"/>
      <c r="F539" s="157"/>
      <c r="G539" s="157"/>
      <c r="H539" s="157"/>
    </row>
    <row r="540" spans="3:8" ht="15.75" customHeight="1" x14ac:dyDescent="0.2">
      <c r="C540" s="157"/>
      <c r="D540" s="157"/>
      <c r="E540" s="157"/>
      <c r="F540" s="157"/>
      <c r="G540" s="157"/>
      <c r="H540" s="157"/>
    </row>
    <row r="541" spans="3:8" ht="15.75" customHeight="1" x14ac:dyDescent="0.2">
      <c r="C541" s="157"/>
      <c r="D541" s="157"/>
      <c r="E541" s="157"/>
      <c r="F541" s="157"/>
      <c r="G541" s="157"/>
      <c r="H541" s="157"/>
    </row>
    <row r="542" spans="3:8" ht="15.75" customHeight="1" x14ac:dyDescent="0.2">
      <c r="C542" s="157"/>
      <c r="D542" s="157"/>
      <c r="E542" s="157"/>
      <c r="F542" s="157"/>
      <c r="G542" s="157"/>
      <c r="H542" s="157"/>
    </row>
    <row r="543" spans="3:8" ht="15.75" customHeight="1" x14ac:dyDescent="0.2">
      <c r="C543" s="157"/>
      <c r="D543" s="157"/>
      <c r="E543" s="157"/>
      <c r="F543" s="157"/>
      <c r="G543" s="157"/>
      <c r="H543" s="157"/>
    </row>
    <row r="544" spans="3:8" ht="15.75" customHeight="1" x14ac:dyDescent="0.2">
      <c r="C544" s="157"/>
      <c r="D544" s="157"/>
      <c r="E544" s="157"/>
      <c r="F544" s="157"/>
      <c r="G544" s="157"/>
      <c r="H544" s="157"/>
    </row>
    <row r="545" spans="3:8" ht="15.75" customHeight="1" x14ac:dyDescent="0.2">
      <c r="C545" s="157"/>
      <c r="D545" s="157"/>
      <c r="E545" s="157"/>
      <c r="F545" s="157"/>
      <c r="G545" s="157"/>
      <c r="H545" s="157"/>
    </row>
    <row r="546" spans="3:8" ht="15.75" customHeight="1" x14ac:dyDescent="0.2">
      <c r="C546" s="157"/>
      <c r="D546" s="157"/>
      <c r="E546" s="157"/>
      <c r="F546" s="157"/>
      <c r="G546" s="157"/>
      <c r="H546" s="157"/>
    </row>
    <row r="547" spans="3:8" ht="15.75" customHeight="1" x14ac:dyDescent="0.2">
      <c r="C547" s="157"/>
      <c r="D547" s="157"/>
      <c r="E547" s="157"/>
      <c r="F547" s="157"/>
      <c r="G547" s="157"/>
      <c r="H547" s="157"/>
    </row>
    <row r="548" spans="3:8" ht="15.75" customHeight="1" x14ac:dyDescent="0.2">
      <c r="C548" s="157"/>
      <c r="D548" s="157"/>
      <c r="E548" s="157"/>
      <c r="F548" s="157"/>
      <c r="G548" s="157"/>
      <c r="H548" s="157"/>
    </row>
    <row r="549" spans="3:8" ht="15.75" customHeight="1" x14ac:dyDescent="0.2">
      <c r="C549" s="157"/>
      <c r="D549" s="157"/>
      <c r="E549" s="157"/>
      <c r="F549" s="157"/>
      <c r="G549" s="157"/>
      <c r="H549" s="157"/>
    </row>
    <row r="550" spans="3:8" ht="15.75" customHeight="1" x14ac:dyDescent="0.2">
      <c r="C550" s="157"/>
      <c r="D550" s="157"/>
      <c r="E550" s="157"/>
      <c r="F550" s="157"/>
      <c r="G550" s="157"/>
      <c r="H550" s="157"/>
    </row>
    <row r="551" spans="3:8" ht="15.75" customHeight="1" x14ac:dyDescent="0.2">
      <c r="C551" s="157"/>
      <c r="D551" s="157"/>
      <c r="E551" s="157"/>
      <c r="F551" s="157"/>
      <c r="G551" s="157"/>
      <c r="H551" s="157"/>
    </row>
    <row r="552" spans="3:8" ht="15.75" customHeight="1" x14ac:dyDescent="0.2">
      <c r="C552" s="157"/>
      <c r="D552" s="157"/>
      <c r="E552" s="157"/>
      <c r="F552" s="157"/>
      <c r="G552" s="157"/>
      <c r="H552" s="157"/>
    </row>
    <row r="553" spans="3:8" ht="15.75" customHeight="1" x14ac:dyDescent="0.2">
      <c r="C553" s="157"/>
      <c r="D553" s="157"/>
      <c r="E553" s="157"/>
      <c r="F553" s="157"/>
      <c r="G553" s="157"/>
      <c r="H553" s="157"/>
    </row>
    <row r="554" spans="3:8" ht="15.75" customHeight="1" x14ac:dyDescent="0.2">
      <c r="C554" s="157"/>
      <c r="D554" s="157"/>
      <c r="E554" s="157"/>
      <c r="F554" s="157"/>
      <c r="G554" s="157"/>
      <c r="H554" s="157"/>
    </row>
    <row r="555" spans="3:8" ht="15.75" customHeight="1" x14ac:dyDescent="0.2">
      <c r="C555" s="157"/>
      <c r="D555" s="157"/>
      <c r="E555" s="157"/>
      <c r="F555" s="157"/>
      <c r="G555" s="157"/>
      <c r="H555" s="157"/>
    </row>
    <row r="556" spans="3:8" ht="15.75" customHeight="1" x14ac:dyDescent="0.2">
      <c r="C556" s="157"/>
      <c r="D556" s="157"/>
      <c r="E556" s="157"/>
      <c r="F556" s="157"/>
      <c r="G556" s="157"/>
      <c r="H556" s="157"/>
    </row>
    <row r="557" spans="3:8" ht="15.75" customHeight="1" x14ac:dyDescent="0.2">
      <c r="C557" s="157"/>
      <c r="D557" s="157"/>
      <c r="E557" s="157"/>
      <c r="F557" s="157"/>
      <c r="G557" s="157"/>
      <c r="H557" s="157"/>
    </row>
    <row r="558" spans="3:8" ht="15.75" customHeight="1" x14ac:dyDescent="0.2">
      <c r="C558" s="157"/>
      <c r="D558" s="157"/>
      <c r="E558" s="157"/>
      <c r="F558" s="157"/>
      <c r="G558" s="157"/>
      <c r="H558" s="157"/>
    </row>
    <row r="559" spans="3:8" ht="15.75" customHeight="1" x14ac:dyDescent="0.2">
      <c r="C559" s="157"/>
      <c r="D559" s="157"/>
      <c r="E559" s="157"/>
      <c r="F559" s="157"/>
      <c r="G559" s="157"/>
      <c r="H559" s="157"/>
    </row>
    <row r="560" spans="3:8" ht="15.75" customHeight="1" x14ac:dyDescent="0.2">
      <c r="C560" s="157"/>
      <c r="D560" s="157"/>
      <c r="E560" s="157"/>
      <c r="F560" s="157"/>
      <c r="G560" s="157"/>
      <c r="H560" s="157"/>
    </row>
    <row r="561" spans="3:8" ht="15.75" customHeight="1" x14ac:dyDescent="0.2">
      <c r="C561" s="157"/>
      <c r="D561" s="157"/>
      <c r="E561" s="157"/>
      <c r="F561" s="157"/>
      <c r="G561" s="157"/>
      <c r="H561" s="157"/>
    </row>
    <row r="562" spans="3:8" ht="15.75" customHeight="1" x14ac:dyDescent="0.2">
      <c r="C562" s="157"/>
      <c r="D562" s="157"/>
      <c r="E562" s="157"/>
      <c r="F562" s="157"/>
      <c r="G562" s="157"/>
      <c r="H562" s="157"/>
    </row>
    <row r="563" spans="3:8" ht="15.75" customHeight="1" x14ac:dyDescent="0.2">
      <c r="C563" s="157"/>
      <c r="D563" s="157"/>
      <c r="E563" s="157"/>
      <c r="F563" s="157"/>
      <c r="G563" s="157"/>
      <c r="H563" s="157"/>
    </row>
    <row r="564" spans="3:8" ht="15.75" customHeight="1" x14ac:dyDescent="0.2">
      <c r="C564" s="157"/>
      <c r="D564" s="157"/>
      <c r="E564" s="157"/>
      <c r="F564" s="157"/>
      <c r="G564" s="157"/>
      <c r="H564" s="157"/>
    </row>
    <row r="565" spans="3:8" ht="15.75" customHeight="1" x14ac:dyDescent="0.2">
      <c r="C565" s="157"/>
      <c r="D565" s="157"/>
      <c r="E565" s="157"/>
      <c r="F565" s="157"/>
      <c r="G565" s="157"/>
      <c r="H565" s="157"/>
    </row>
    <row r="566" spans="3:8" ht="15.75" customHeight="1" x14ac:dyDescent="0.2">
      <c r="C566" s="157"/>
      <c r="D566" s="157"/>
      <c r="E566" s="157"/>
      <c r="F566" s="157"/>
      <c r="G566" s="157"/>
      <c r="H566" s="157"/>
    </row>
    <row r="567" spans="3:8" ht="15.75" customHeight="1" x14ac:dyDescent="0.2">
      <c r="C567" s="157"/>
      <c r="D567" s="157"/>
      <c r="E567" s="157"/>
      <c r="F567" s="157"/>
      <c r="G567" s="157"/>
      <c r="H567" s="157"/>
    </row>
    <row r="568" spans="3:8" ht="15.75" customHeight="1" x14ac:dyDescent="0.2">
      <c r="C568" s="157"/>
      <c r="D568" s="157"/>
      <c r="E568" s="157"/>
      <c r="F568" s="157"/>
      <c r="G568" s="157"/>
      <c r="H568" s="157"/>
    </row>
    <row r="569" spans="3:8" ht="15.75" customHeight="1" x14ac:dyDescent="0.2">
      <c r="C569" s="157"/>
      <c r="D569" s="157"/>
      <c r="E569" s="157"/>
      <c r="F569" s="157"/>
      <c r="G569" s="157"/>
      <c r="H569" s="157"/>
    </row>
    <row r="570" spans="3:8" ht="15.75" customHeight="1" x14ac:dyDescent="0.2">
      <c r="C570" s="157"/>
      <c r="D570" s="157"/>
      <c r="E570" s="157"/>
      <c r="F570" s="157"/>
      <c r="G570" s="157"/>
      <c r="H570" s="157"/>
    </row>
    <row r="571" spans="3:8" ht="15.75" customHeight="1" x14ac:dyDescent="0.2">
      <c r="C571" s="157"/>
      <c r="D571" s="157"/>
      <c r="E571" s="157"/>
      <c r="F571" s="157"/>
      <c r="G571" s="157"/>
      <c r="H571" s="157"/>
    </row>
    <row r="572" spans="3:8" ht="15.75" customHeight="1" x14ac:dyDescent="0.2">
      <c r="C572" s="157"/>
      <c r="D572" s="157"/>
      <c r="E572" s="157"/>
      <c r="F572" s="157"/>
      <c r="G572" s="157"/>
      <c r="H572" s="157"/>
    </row>
    <row r="573" spans="3:8" ht="15.75" customHeight="1" x14ac:dyDescent="0.2">
      <c r="C573" s="157"/>
      <c r="D573" s="157"/>
      <c r="E573" s="157"/>
      <c r="F573" s="157"/>
      <c r="G573" s="157"/>
      <c r="H573" s="157"/>
    </row>
    <row r="574" spans="3:8" ht="15.75" customHeight="1" x14ac:dyDescent="0.2">
      <c r="C574" s="157"/>
      <c r="D574" s="157"/>
      <c r="E574" s="157"/>
      <c r="F574" s="157"/>
      <c r="G574" s="157"/>
      <c r="H574" s="157"/>
    </row>
    <row r="575" spans="3:8" ht="15.75" customHeight="1" x14ac:dyDescent="0.2">
      <c r="C575" s="157"/>
      <c r="D575" s="157"/>
      <c r="E575" s="157"/>
      <c r="F575" s="157"/>
      <c r="G575" s="157"/>
      <c r="H575" s="157"/>
    </row>
    <row r="576" spans="3:8" ht="15.75" customHeight="1" x14ac:dyDescent="0.2">
      <c r="C576" s="157"/>
      <c r="D576" s="157"/>
      <c r="E576" s="157"/>
      <c r="F576" s="157"/>
      <c r="G576" s="157"/>
      <c r="H576" s="157"/>
    </row>
    <row r="577" spans="3:8" ht="15.75" customHeight="1" x14ac:dyDescent="0.2">
      <c r="C577" s="157"/>
      <c r="D577" s="157"/>
      <c r="E577" s="157"/>
      <c r="F577" s="157"/>
      <c r="G577" s="157"/>
      <c r="H577" s="157"/>
    </row>
    <row r="578" spans="3:8" ht="15.75" customHeight="1" x14ac:dyDescent="0.2">
      <c r="C578" s="157"/>
      <c r="D578" s="157"/>
      <c r="E578" s="157"/>
      <c r="F578" s="157"/>
      <c r="G578" s="157"/>
      <c r="H578" s="157"/>
    </row>
    <row r="579" spans="3:8" ht="15.75" customHeight="1" x14ac:dyDescent="0.2">
      <c r="C579" s="157"/>
      <c r="D579" s="157"/>
      <c r="E579" s="157"/>
      <c r="F579" s="157"/>
      <c r="G579" s="157"/>
      <c r="H579" s="157"/>
    </row>
    <row r="580" spans="3:8" ht="15.75" customHeight="1" x14ac:dyDescent="0.2">
      <c r="C580" s="157"/>
      <c r="D580" s="157"/>
      <c r="E580" s="157"/>
      <c r="F580" s="157"/>
      <c r="G580" s="157"/>
      <c r="H580" s="157"/>
    </row>
    <row r="581" spans="3:8" ht="15.75" customHeight="1" x14ac:dyDescent="0.2">
      <c r="C581" s="157"/>
      <c r="D581" s="157"/>
      <c r="E581" s="157"/>
      <c r="F581" s="157"/>
      <c r="G581" s="157"/>
      <c r="H581" s="157"/>
    </row>
    <row r="582" spans="3:8" ht="15.75" customHeight="1" x14ac:dyDescent="0.2">
      <c r="C582" s="157"/>
      <c r="D582" s="157"/>
      <c r="E582" s="157"/>
      <c r="F582" s="157"/>
      <c r="G582" s="157"/>
      <c r="H582" s="157"/>
    </row>
    <row r="583" spans="3:8" ht="15.75" customHeight="1" x14ac:dyDescent="0.2">
      <c r="C583" s="157"/>
      <c r="D583" s="157"/>
      <c r="E583" s="157"/>
      <c r="F583" s="157"/>
      <c r="G583" s="157"/>
      <c r="H583" s="157"/>
    </row>
    <row r="584" spans="3:8" ht="15.75" customHeight="1" x14ac:dyDescent="0.2">
      <c r="C584" s="157"/>
      <c r="D584" s="157"/>
      <c r="E584" s="157"/>
      <c r="F584" s="157"/>
      <c r="G584" s="157"/>
      <c r="H584" s="157"/>
    </row>
    <row r="585" spans="3:8" ht="15.75" customHeight="1" x14ac:dyDescent="0.2">
      <c r="C585" s="157"/>
      <c r="D585" s="157"/>
      <c r="E585" s="157"/>
      <c r="F585" s="157"/>
      <c r="G585" s="157"/>
      <c r="H585" s="157"/>
    </row>
    <row r="586" spans="3:8" ht="15.75" customHeight="1" x14ac:dyDescent="0.2">
      <c r="C586" s="157"/>
      <c r="D586" s="157"/>
      <c r="E586" s="157"/>
      <c r="F586" s="157"/>
      <c r="G586" s="157"/>
      <c r="H586" s="157"/>
    </row>
    <row r="587" spans="3:8" ht="15.75" customHeight="1" x14ac:dyDescent="0.2">
      <c r="C587" s="157"/>
      <c r="D587" s="157"/>
      <c r="E587" s="157"/>
      <c r="F587" s="157"/>
      <c r="G587" s="157"/>
      <c r="H587" s="157"/>
    </row>
    <row r="588" spans="3:8" ht="15.75" customHeight="1" x14ac:dyDescent="0.2">
      <c r="C588" s="157"/>
      <c r="D588" s="157"/>
      <c r="E588" s="157"/>
      <c r="F588" s="157"/>
      <c r="G588" s="157"/>
      <c r="H588" s="157"/>
    </row>
    <row r="589" spans="3:8" ht="15.75" customHeight="1" x14ac:dyDescent="0.2">
      <c r="C589" s="157"/>
      <c r="D589" s="157"/>
      <c r="E589" s="157"/>
      <c r="F589" s="157"/>
      <c r="G589" s="157"/>
      <c r="H589" s="157"/>
    </row>
    <row r="590" spans="3:8" ht="15.75" customHeight="1" x14ac:dyDescent="0.2">
      <c r="C590" s="157"/>
      <c r="D590" s="157"/>
      <c r="E590" s="157"/>
      <c r="F590" s="157"/>
      <c r="G590" s="157"/>
      <c r="H590" s="157"/>
    </row>
    <row r="591" spans="3:8" ht="15.75" customHeight="1" x14ac:dyDescent="0.2">
      <c r="C591" s="157"/>
      <c r="D591" s="157"/>
      <c r="E591" s="157"/>
      <c r="F591" s="157"/>
      <c r="G591" s="157"/>
      <c r="H591" s="157"/>
    </row>
    <row r="592" spans="3:8" ht="15.75" customHeight="1" x14ac:dyDescent="0.2">
      <c r="C592" s="157"/>
      <c r="D592" s="157"/>
      <c r="E592" s="157"/>
      <c r="F592" s="157"/>
      <c r="G592" s="157"/>
      <c r="H592" s="157"/>
    </row>
    <row r="593" spans="3:8" ht="15.75" customHeight="1" x14ac:dyDescent="0.2">
      <c r="C593" s="157"/>
      <c r="D593" s="157"/>
      <c r="E593" s="157"/>
      <c r="F593" s="157"/>
      <c r="G593" s="157"/>
      <c r="H593" s="157"/>
    </row>
    <row r="594" spans="3:8" ht="15.75" customHeight="1" x14ac:dyDescent="0.2">
      <c r="C594" s="157"/>
      <c r="D594" s="157"/>
      <c r="E594" s="157"/>
      <c r="F594" s="157"/>
      <c r="G594" s="157"/>
      <c r="H594" s="157"/>
    </row>
    <row r="595" spans="3:8" ht="15.75" customHeight="1" x14ac:dyDescent="0.2">
      <c r="C595" s="157"/>
      <c r="D595" s="157"/>
      <c r="E595" s="157"/>
      <c r="F595" s="157"/>
      <c r="G595" s="157"/>
      <c r="H595" s="157"/>
    </row>
    <row r="596" spans="3:8" ht="15.75" customHeight="1" x14ac:dyDescent="0.2">
      <c r="C596" s="157"/>
      <c r="D596" s="157"/>
      <c r="E596" s="157"/>
      <c r="F596" s="157"/>
      <c r="G596" s="157"/>
      <c r="H596" s="157"/>
    </row>
    <row r="597" spans="3:8" ht="15.75" customHeight="1" x14ac:dyDescent="0.2">
      <c r="C597" s="157"/>
      <c r="D597" s="157"/>
      <c r="E597" s="157"/>
      <c r="F597" s="157"/>
      <c r="G597" s="157"/>
      <c r="H597" s="157"/>
    </row>
    <row r="598" spans="3:8" ht="15.75" customHeight="1" x14ac:dyDescent="0.2">
      <c r="C598" s="157"/>
      <c r="D598" s="157"/>
      <c r="E598" s="157"/>
      <c r="F598" s="157"/>
      <c r="G598" s="157"/>
      <c r="H598" s="157"/>
    </row>
    <row r="599" spans="3:8" ht="15.75" customHeight="1" x14ac:dyDescent="0.2">
      <c r="C599" s="157"/>
      <c r="D599" s="157"/>
      <c r="E599" s="157"/>
      <c r="F599" s="157"/>
      <c r="G599" s="157"/>
      <c r="H599" s="157"/>
    </row>
    <row r="600" spans="3:8" ht="15.75" customHeight="1" x14ac:dyDescent="0.2">
      <c r="C600" s="157"/>
      <c r="D600" s="157"/>
      <c r="E600" s="157"/>
      <c r="F600" s="157"/>
      <c r="G600" s="157"/>
      <c r="H600" s="157"/>
    </row>
    <row r="601" spans="3:8" ht="15.75" customHeight="1" x14ac:dyDescent="0.2">
      <c r="C601" s="157"/>
      <c r="D601" s="157"/>
      <c r="E601" s="157"/>
      <c r="F601" s="157"/>
      <c r="G601" s="157"/>
      <c r="H601" s="157"/>
    </row>
    <row r="602" spans="3:8" ht="15.75" customHeight="1" x14ac:dyDescent="0.2">
      <c r="C602" s="157"/>
      <c r="D602" s="157"/>
      <c r="E602" s="157"/>
      <c r="F602" s="157"/>
      <c r="G602" s="157"/>
      <c r="H602" s="157"/>
    </row>
    <row r="603" spans="3:8" ht="15.75" customHeight="1" x14ac:dyDescent="0.2">
      <c r="C603" s="157"/>
      <c r="D603" s="157"/>
      <c r="E603" s="157"/>
      <c r="F603" s="157"/>
      <c r="G603" s="157"/>
      <c r="H603" s="157"/>
    </row>
    <row r="604" spans="3:8" ht="15.75" customHeight="1" x14ac:dyDescent="0.2">
      <c r="C604" s="157"/>
      <c r="D604" s="157"/>
      <c r="E604" s="157"/>
      <c r="F604" s="157"/>
      <c r="G604" s="157"/>
      <c r="H604" s="157"/>
    </row>
    <row r="605" spans="3:8" ht="15.75" customHeight="1" x14ac:dyDescent="0.2">
      <c r="C605" s="157"/>
      <c r="D605" s="157"/>
      <c r="E605" s="157"/>
      <c r="F605" s="157"/>
      <c r="G605" s="157"/>
      <c r="H605" s="157"/>
    </row>
    <row r="606" spans="3:8" ht="15.75" customHeight="1" x14ac:dyDescent="0.2">
      <c r="C606" s="157"/>
      <c r="D606" s="157"/>
      <c r="E606" s="157"/>
      <c r="F606" s="157"/>
      <c r="G606" s="157"/>
      <c r="H606" s="157"/>
    </row>
    <row r="607" spans="3:8" ht="15.75" customHeight="1" x14ac:dyDescent="0.2">
      <c r="C607" s="157"/>
      <c r="D607" s="157"/>
      <c r="E607" s="157"/>
      <c r="F607" s="157"/>
      <c r="G607" s="157"/>
      <c r="H607" s="157"/>
    </row>
    <row r="608" spans="3:8" ht="15.75" customHeight="1" x14ac:dyDescent="0.2">
      <c r="C608" s="157"/>
      <c r="D608" s="157"/>
      <c r="E608" s="157"/>
      <c r="F608" s="157"/>
      <c r="G608" s="157"/>
      <c r="H608" s="157"/>
    </row>
    <row r="609" spans="3:8" ht="15.75" customHeight="1" x14ac:dyDescent="0.2">
      <c r="C609" s="157"/>
      <c r="D609" s="157"/>
      <c r="E609" s="157"/>
      <c r="F609" s="157"/>
      <c r="G609" s="157"/>
      <c r="H609" s="157"/>
    </row>
    <row r="610" spans="3:8" ht="15.75" customHeight="1" x14ac:dyDescent="0.2">
      <c r="C610" s="157"/>
      <c r="D610" s="157"/>
      <c r="E610" s="157"/>
      <c r="F610" s="157"/>
      <c r="G610" s="157"/>
      <c r="H610" s="157"/>
    </row>
    <row r="611" spans="3:8" ht="15.75" customHeight="1" x14ac:dyDescent="0.2">
      <c r="C611" s="157"/>
      <c r="D611" s="157"/>
      <c r="E611" s="157"/>
      <c r="F611" s="157"/>
      <c r="G611" s="157"/>
      <c r="H611" s="157"/>
    </row>
    <row r="612" spans="3:8" ht="15.75" customHeight="1" x14ac:dyDescent="0.2">
      <c r="C612" s="157"/>
      <c r="D612" s="157"/>
      <c r="E612" s="157"/>
      <c r="F612" s="157"/>
      <c r="G612" s="157"/>
      <c r="H612" s="157"/>
    </row>
    <row r="613" spans="3:8" ht="15.75" customHeight="1" x14ac:dyDescent="0.2">
      <c r="C613" s="157"/>
      <c r="D613" s="157"/>
      <c r="E613" s="157"/>
      <c r="F613" s="157"/>
      <c r="G613" s="157"/>
      <c r="H613" s="157"/>
    </row>
    <row r="614" spans="3:8" ht="15.75" customHeight="1" x14ac:dyDescent="0.2">
      <c r="C614" s="157"/>
      <c r="D614" s="157"/>
      <c r="E614" s="157"/>
      <c r="F614" s="157"/>
      <c r="G614" s="157"/>
      <c r="H614" s="157"/>
    </row>
    <row r="615" spans="3:8" ht="15.75" customHeight="1" x14ac:dyDescent="0.2">
      <c r="C615" s="157"/>
      <c r="D615" s="157"/>
      <c r="E615" s="157"/>
      <c r="F615" s="157"/>
      <c r="G615" s="157"/>
      <c r="H615" s="157"/>
    </row>
    <row r="616" spans="3:8" ht="15.75" customHeight="1" x14ac:dyDescent="0.2">
      <c r="C616" s="157"/>
      <c r="D616" s="157"/>
      <c r="E616" s="157"/>
      <c r="F616" s="157"/>
      <c r="G616" s="157"/>
      <c r="H616" s="157"/>
    </row>
    <row r="617" spans="3:8" ht="15.75" customHeight="1" x14ac:dyDescent="0.2">
      <c r="C617" s="157"/>
      <c r="D617" s="157"/>
      <c r="E617" s="157"/>
      <c r="F617" s="157"/>
      <c r="G617" s="157"/>
      <c r="H617" s="157"/>
    </row>
    <row r="618" spans="3:8" ht="15.75" customHeight="1" x14ac:dyDescent="0.2">
      <c r="C618" s="157"/>
      <c r="D618" s="157"/>
      <c r="E618" s="157"/>
      <c r="F618" s="157"/>
      <c r="G618" s="157"/>
      <c r="H618" s="157"/>
    </row>
    <row r="619" spans="3:8" ht="15.75" customHeight="1" x14ac:dyDescent="0.2">
      <c r="C619" s="157"/>
      <c r="D619" s="157"/>
      <c r="E619" s="157"/>
      <c r="F619" s="157"/>
      <c r="G619" s="157"/>
      <c r="H619" s="157"/>
    </row>
    <row r="620" spans="3:8" ht="15.75" customHeight="1" x14ac:dyDescent="0.2">
      <c r="C620" s="157"/>
      <c r="D620" s="157"/>
      <c r="E620" s="157"/>
      <c r="F620" s="157"/>
      <c r="G620" s="157"/>
      <c r="H620" s="157"/>
    </row>
    <row r="621" spans="3:8" ht="15.75" customHeight="1" x14ac:dyDescent="0.2">
      <c r="C621" s="157"/>
      <c r="D621" s="157"/>
      <c r="E621" s="157"/>
      <c r="F621" s="157"/>
      <c r="G621" s="157"/>
      <c r="H621" s="157"/>
    </row>
    <row r="622" spans="3:8" ht="15.75" customHeight="1" x14ac:dyDescent="0.2">
      <c r="C622" s="157"/>
      <c r="D622" s="157"/>
      <c r="E622" s="157"/>
      <c r="F622" s="157"/>
      <c r="G622" s="157"/>
      <c r="H622" s="157"/>
    </row>
    <row r="623" spans="3:8" ht="15.75" customHeight="1" x14ac:dyDescent="0.2">
      <c r="C623" s="157"/>
      <c r="D623" s="157"/>
      <c r="E623" s="157"/>
      <c r="F623" s="157"/>
      <c r="G623" s="157"/>
      <c r="H623" s="157"/>
    </row>
    <row r="624" spans="3:8" ht="15.75" customHeight="1" x14ac:dyDescent="0.2">
      <c r="C624" s="157"/>
      <c r="D624" s="157"/>
      <c r="E624" s="157"/>
      <c r="F624" s="157"/>
      <c r="G624" s="157"/>
      <c r="H624" s="157"/>
    </row>
    <row r="625" spans="3:8" ht="15.75" customHeight="1" x14ac:dyDescent="0.2">
      <c r="C625" s="157"/>
      <c r="D625" s="157"/>
      <c r="E625" s="157"/>
      <c r="F625" s="157"/>
      <c r="G625" s="157"/>
      <c r="H625" s="157"/>
    </row>
    <row r="626" spans="3:8" ht="15.75" customHeight="1" x14ac:dyDescent="0.2">
      <c r="C626" s="157"/>
      <c r="D626" s="157"/>
      <c r="E626" s="157"/>
      <c r="F626" s="157"/>
      <c r="G626" s="157"/>
      <c r="H626" s="157"/>
    </row>
    <row r="627" spans="3:8" ht="15.75" customHeight="1" x14ac:dyDescent="0.2">
      <c r="C627" s="157"/>
      <c r="D627" s="157"/>
      <c r="E627" s="157"/>
      <c r="F627" s="157"/>
      <c r="G627" s="157"/>
      <c r="H627" s="157"/>
    </row>
    <row r="628" spans="3:8" ht="15.75" customHeight="1" x14ac:dyDescent="0.2">
      <c r="C628" s="157"/>
      <c r="D628" s="157"/>
      <c r="E628" s="157"/>
      <c r="F628" s="157"/>
      <c r="G628" s="157"/>
      <c r="H628" s="157"/>
    </row>
    <row r="629" spans="3:8" ht="15.75" customHeight="1" x14ac:dyDescent="0.2">
      <c r="C629" s="157"/>
      <c r="D629" s="157"/>
      <c r="E629" s="157"/>
      <c r="F629" s="157"/>
      <c r="G629" s="157"/>
      <c r="H629" s="157"/>
    </row>
    <row r="630" spans="3:8" ht="15.75" customHeight="1" x14ac:dyDescent="0.2">
      <c r="C630" s="157"/>
      <c r="D630" s="157"/>
      <c r="E630" s="157"/>
      <c r="F630" s="157"/>
      <c r="G630" s="157"/>
      <c r="H630" s="157"/>
    </row>
    <row r="631" spans="3:8" ht="15.75" customHeight="1" x14ac:dyDescent="0.2">
      <c r="C631" s="157"/>
      <c r="D631" s="157"/>
      <c r="E631" s="157"/>
      <c r="F631" s="157"/>
      <c r="G631" s="157"/>
      <c r="H631" s="157"/>
    </row>
    <row r="632" spans="3:8" ht="15.75" customHeight="1" x14ac:dyDescent="0.2">
      <c r="C632" s="157"/>
      <c r="D632" s="157"/>
      <c r="E632" s="157"/>
      <c r="F632" s="157"/>
      <c r="G632" s="157"/>
      <c r="H632" s="157"/>
    </row>
    <row r="633" spans="3:8" ht="15.75" customHeight="1" x14ac:dyDescent="0.2">
      <c r="C633" s="157"/>
      <c r="D633" s="157"/>
      <c r="E633" s="157"/>
      <c r="F633" s="157"/>
      <c r="G633" s="157"/>
      <c r="H633" s="157"/>
    </row>
    <row r="634" spans="3:8" ht="15.75" customHeight="1" x14ac:dyDescent="0.2">
      <c r="C634" s="157"/>
      <c r="D634" s="157"/>
      <c r="E634" s="157"/>
      <c r="F634" s="157"/>
      <c r="G634" s="157"/>
      <c r="H634" s="157"/>
    </row>
    <row r="635" spans="3:8" ht="15.75" customHeight="1" x14ac:dyDescent="0.2">
      <c r="C635" s="157"/>
      <c r="D635" s="157"/>
      <c r="E635" s="157"/>
      <c r="F635" s="157"/>
      <c r="G635" s="157"/>
      <c r="H635" s="157"/>
    </row>
    <row r="636" spans="3:8" ht="15.75" customHeight="1" x14ac:dyDescent="0.2">
      <c r="C636" s="157"/>
      <c r="D636" s="157"/>
      <c r="E636" s="157"/>
      <c r="F636" s="157"/>
      <c r="G636" s="157"/>
      <c r="H636" s="157"/>
    </row>
    <row r="637" spans="3:8" ht="15.75" customHeight="1" x14ac:dyDescent="0.2">
      <c r="C637" s="157"/>
      <c r="D637" s="157"/>
      <c r="E637" s="157"/>
      <c r="F637" s="157"/>
      <c r="G637" s="157"/>
      <c r="H637" s="157"/>
    </row>
    <row r="638" spans="3:8" ht="15.75" customHeight="1" x14ac:dyDescent="0.2">
      <c r="C638" s="157"/>
      <c r="D638" s="157"/>
      <c r="E638" s="157"/>
      <c r="F638" s="157"/>
      <c r="G638" s="157"/>
      <c r="H638" s="157"/>
    </row>
    <row r="639" spans="3:8" ht="15.75" customHeight="1" x14ac:dyDescent="0.2">
      <c r="C639" s="157"/>
      <c r="D639" s="157"/>
      <c r="E639" s="157"/>
      <c r="F639" s="157"/>
      <c r="G639" s="157"/>
      <c r="H639" s="157"/>
    </row>
    <row r="640" spans="3:8" ht="15.75" customHeight="1" x14ac:dyDescent="0.2">
      <c r="C640" s="157"/>
      <c r="D640" s="157"/>
      <c r="E640" s="157"/>
      <c r="F640" s="157"/>
      <c r="G640" s="157"/>
      <c r="H640" s="157"/>
    </row>
    <row r="641" spans="3:8" ht="15.75" customHeight="1" x14ac:dyDescent="0.2">
      <c r="C641" s="157"/>
      <c r="D641" s="157"/>
      <c r="E641" s="157"/>
      <c r="F641" s="157"/>
      <c r="G641" s="157"/>
      <c r="H641" s="157"/>
    </row>
    <row r="642" spans="3:8" ht="15.75" customHeight="1" x14ac:dyDescent="0.2">
      <c r="C642" s="157"/>
      <c r="D642" s="157"/>
      <c r="E642" s="157"/>
      <c r="F642" s="157"/>
      <c r="G642" s="157"/>
      <c r="H642" s="157"/>
    </row>
    <row r="643" spans="3:8" ht="15.75" customHeight="1" x14ac:dyDescent="0.2">
      <c r="C643" s="157"/>
      <c r="D643" s="157"/>
      <c r="E643" s="157"/>
      <c r="F643" s="157"/>
      <c r="G643" s="157"/>
      <c r="H643" s="157"/>
    </row>
    <row r="644" spans="3:8" ht="15.75" customHeight="1" x14ac:dyDescent="0.2">
      <c r="C644" s="157"/>
      <c r="D644" s="157"/>
      <c r="E644" s="157"/>
      <c r="F644" s="157"/>
      <c r="G644" s="157"/>
      <c r="H644" s="157"/>
    </row>
    <row r="645" spans="3:8" ht="15.75" customHeight="1" x14ac:dyDescent="0.2">
      <c r="C645" s="157"/>
      <c r="D645" s="157"/>
      <c r="E645" s="157"/>
      <c r="F645" s="157"/>
      <c r="G645" s="157"/>
      <c r="H645" s="157"/>
    </row>
    <row r="646" spans="3:8" ht="15.75" customHeight="1" x14ac:dyDescent="0.2">
      <c r="C646" s="157"/>
      <c r="D646" s="157"/>
      <c r="E646" s="157"/>
      <c r="F646" s="157"/>
      <c r="G646" s="157"/>
      <c r="H646" s="157"/>
    </row>
    <row r="647" spans="3:8" ht="15.75" customHeight="1" x14ac:dyDescent="0.2">
      <c r="C647" s="157"/>
      <c r="D647" s="157"/>
      <c r="E647" s="157"/>
      <c r="F647" s="157"/>
      <c r="G647" s="157"/>
      <c r="H647" s="157"/>
    </row>
    <row r="648" spans="3:8" ht="15.75" customHeight="1" x14ac:dyDescent="0.2">
      <c r="C648" s="157"/>
      <c r="D648" s="157"/>
      <c r="E648" s="157"/>
      <c r="F648" s="157"/>
      <c r="G648" s="157"/>
      <c r="H648" s="157"/>
    </row>
    <row r="649" spans="3:8" ht="15.75" customHeight="1" x14ac:dyDescent="0.2">
      <c r="C649" s="157"/>
      <c r="D649" s="157"/>
      <c r="E649" s="157"/>
      <c r="F649" s="157"/>
      <c r="G649" s="157"/>
      <c r="H649" s="157"/>
    </row>
    <row r="650" spans="3:8" ht="15.75" customHeight="1" x14ac:dyDescent="0.2">
      <c r="C650" s="157"/>
      <c r="D650" s="157"/>
      <c r="E650" s="157"/>
      <c r="F650" s="157"/>
      <c r="G650" s="157"/>
      <c r="H650" s="157"/>
    </row>
    <row r="651" spans="3:8" ht="15.75" customHeight="1" x14ac:dyDescent="0.2">
      <c r="C651" s="157"/>
      <c r="D651" s="157"/>
      <c r="E651" s="157"/>
      <c r="F651" s="157"/>
      <c r="G651" s="157"/>
      <c r="H651" s="157"/>
    </row>
    <row r="652" spans="3:8" ht="15.75" customHeight="1" x14ac:dyDescent="0.2">
      <c r="C652" s="157"/>
      <c r="D652" s="157"/>
      <c r="E652" s="157"/>
      <c r="F652" s="157"/>
      <c r="G652" s="157"/>
      <c r="H652" s="157"/>
    </row>
    <row r="653" spans="3:8" ht="15.75" customHeight="1" x14ac:dyDescent="0.2">
      <c r="C653" s="157"/>
      <c r="D653" s="157"/>
      <c r="E653" s="157"/>
      <c r="F653" s="157"/>
      <c r="G653" s="157"/>
      <c r="H653" s="157"/>
    </row>
    <row r="654" spans="3:8" ht="15.75" customHeight="1" x14ac:dyDescent="0.2">
      <c r="C654" s="157"/>
      <c r="D654" s="157"/>
      <c r="E654" s="157"/>
      <c r="F654" s="157"/>
      <c r="G654" s="157"/>
      <c r="H654" s="157"/>
    </row>
    <row r="655" spans="3:8" ht="15.75" customHeight="1" x14ac:dyDescent="0.2">
      <c r="C655" s="157"/>
      <c r="D655" s="157"/>
      <c r="E655" s="157"/>
      <c r="F655" s="157"/>
      <c r="G655" s="157"/>
      <c r="H655" s="157"/>
    </row>
    <row r="656" spans="3:8" ht="15.75" customHeight="1" x14ac:dyDescent="0.2">
      <c r="C656" s="157"/>
      <c r="D656" s="157"/>
      <c r="E656" s="157"/>
      <c r="F656" s="157"/>
      <c r="G656" s="157"/>
      <c r="H656" s="157"/>
    </row>
    <row r="657" spans="3:8" ht="15.75" customHeight="1" x14ac:dyDescent="0.2">
      <c r="C657" s="157"/>
      <c r="D657" s="157"/>
      <c r="E657" s="157"/>
      <c r="F657" s="157"/>
      <c r="G657" s="157"/>
      <c r="H657" s="157"/>
    </row>
    <row r="658" spans="3:8" ht="15.75" customHeight="1" x14ac:dyDescent="0.2">
      <c r="C658" s="157"/>
      <c r="D658" s="157"/>
      <c r="E658" s="157"/>
      <c r="F658" s="157"/>
      <c r="G658" s="157"/>
      <c r="H658" s="157"/>
    </row>
    <row r="659" spans="3:8" ht="15.75" customHeight="1" x14ac:dyDescent="0.2">
      <c r="C659" s="157"/>
      <c r="D659" s="157"/>
      <c r="E659" s="157"/>
      <c r="F659" s="157"/>
      <c r="G659" s="157"/>
      <c r="H659" s="157"/>
    </row>
    <row r="660" spans="3:8" ht="15.75" customHeight="1" x14ac:dyDescent="0.2">
      <c r="C660" s="157"/>
      <c r="D660" s="157"/>
      <c r="E660" s="157"/>
      <c r="F660" s="157"/>
      <c r="G660" s="157"/>
      <c r="H660" s="157"/>
    </row>
    <row r="661" spans="3:8" ht="15.75" customHeight="1" x14ac:dyDescent="0.2">
      <c r="C661" s="157"/>
      <c r="D661" s="157"/>
      <c r="E661" s="157"/>
      <c r="F661" s="157"/>
      <c r="G661" s="157"/>
      <c r="H661" s="157"/>
    </row>
    <row r="662" spans="3:8" ht="15.75" customHeight="1" x14ac:dyDescent="0.2">
      <c r="C662" s="157"/>
      <c r="D662" s="157"/>
      <c r="E662" s="157"/>
      <c r="F662" s="157"/>
      <c r="G662" s="157"/>
      <c r="H662" s="157"/>
    </row>
    <row r="663" spans="3:8" ht="15.75" customHeight="1" x14ac:dyDescent="0.2">
      <c r="C663" s="157"/>
      <c r="D663" s="157"/>
      <c r="E663" s="157"/>
      <c r="F663" s="157"/>
      <c r="G663" s="157"/>
      <c r="H663" s="157"/>
    </row>
    <row r="664" spans="3:8" ht="15.75" customHeight="1" x14ac:dyDescent="0.2">
      <c r="C664" s="157"/>
      <c r="D664" s="157"/>
      <c r="E664" s="157"/>
      <c r="F664" s="157"/>
      <c r="G664" s="157"/>
      <c r="H664" s="157"/>
    </row>
    <row r="665" spans="3:8" ht="15.75" customHeight="1" x14ac:dyDescent="0.2">
      <c r="C665" s="157"/>
      <c r="D665" s="157"/>
      <c r="E665" s="157"/>
      <c r="F665" s="157"/>
      <c r="G665" s="157"/>
      <c r="H665" s="157"/>
    </row>
    <row r="666" spans="3:8" ht="15.75" customHeight="1" x14ac:dyDescent="0.2">
      <c r="C666" s="157"/>
      <c r="D666" s="157"/>
      <c r="E666" s="157"/>
      <c r="F666" s="157"/>
      <c r="G666" s="157"/>
      <c r="H666" s="157"/>
    </row>
    <row r="667" spans="3:8" ht="15.75" customHeight="1" x14ac:dyDescent="0.2">
      <c r="C667" s="157"/>
      <c r="D667" s="157"/>
      <c r="E667" s="157"/>
      <c r="F667" s="157"/>
      <c r="G667" s="157"/>
      <c r="H667" s="157"/>
    </row>
    <row r="668" spans="3:8" ht="15.75" customHeight="1" x14ac:dyDescent="0.2">
      <c r="C668" s="157"/>
      <c r="D668" s="157"/>
      <c r="E668" s="157"/>
      <c r="F668" s="157"/>
      <c r="G668" s="157"/>
      <c r="H668" s="157"/>
    </row>
    <row r="669" spans="3:8" ht="15.75" customHeight="1" x14ac:dyDescent="0.2">
      <c r="C669" s="157"/>
      <c r="D669" s="157"/>
      <c r="E669" s="157"/>
      <c r="F669" s="157"/>
      <c r="G669" s="157"/>
      <c r="H669" s="157"/>
    </row>
    <row r="670" spans="3:8" ht="15.75" customHeight="1" x14ac:dyDescent="0.2">
      <c r="C670" s="157"/>
      <c r="D670" s="157"/>
      <c r="E670" s="157"/>
      <c r="F670" s="157"/>
      <c r="G670" s="157"/>
      <c r="H670" s="157"/>
    </row>
    <row r="671" spans="3:8" ht="15.75" customHeight="1" x14ac:dyDescent="0.2">
      <c r="C671" s="157"/>
      <c r="D671" s="157"/>
      <c r="E671" s="157"/>
      <c r="F671" s="157"/>
      <c r="G671" s="157"/>
      <c r="H671" s="157"/>
    </row>
    <row r="672" spans="3:8" ht="15.75" customHeight="1" x14ac:dyDescent="0.2">
      <c r="C672" s="157"/>
      <c r="D672" s="157"/>
      <c r="E672" s="157"/>
      <c r="F672" s="157"/>
      <c r="G672" s="157"/>
      <c r="H672" s="157"/>
    </row>
    <row r="673" spans="3:8" ht="15.75" customHeight="1" x14ac:dyDescent="0.2">
      <c r="C673" s="157"/>
      <c r="D673" s="157"/>
      <c r="E673" s="157"/>
      <c r="F673" s="157"/>
      <c r="G673" s="157"/>
      <c r="H673" s="157"/>
    </row>
    <row r="674" spans="3:8" ht="15.75" customHeight="1" x14ac:dyDescent="0.2">
      <c r="C674" s="157"/>
      <c r="D674" s="157"/>
      <c r="E674" s="157"/>
      <c r="F674" s="157"/>
      <c r="G674" s="157"/>
      <c r="H674" s="157"/>
    </row>
    <row r="675" spans="3:8" ht="15.75" customHeight="1" x14ac:dyDescent="0.2">
      <c r="C675" s="157"/>
      <c r="D675" s="157"/>
      <c r="E675" s="157"/>
      <c r="F675" s="157"/>
      <c r="G675" s="157"/>
      <c r="H675" s="157"/>
    </row>
    <row r="676" spans="3:8" ht="15.75" customHeight="1" x14ac:dyDescent="0.2">
      <c r="C676" s="157"/>
      <c r="D676" s="157"/>
      <c r="E676" s="157"/>
      <c r="F676" s="157"/>
      <c r="G676" s="157"/>
      <c r="H676" s="157"/>
    </row>
    <row r="677" spans="3:8" ht="15.75" customHeight="1" x14ac:dyDescent="0.2">
      <c r="C677" s="157"/>
      <c r="D677" s="157"/>
      <c r="E677" s="157"/>
      <c r="F677" s="157"/>
      <c r="G677" s="157"/>
      <c r="H677" s="157"/>
    </row>
    <row r="678" spans="3:8" ht="15.75" customHeight="1" x14ac:dyDescent="0.2">
      <c r="C678" s="157"/>
      <c r="D678" s="157"/>
      <c r="E678" s="157"/>
      <c r="F678" s="157"/>
      <c r="G678" s="157"/>
      <c r="H678" s="157"/>
    </row>
    <row r="679" spans="3:8" ht="15.75" customHeight="1" x14ac:dyDescent="0.2">
      <c r="C679" s="157"/>
      <c r="D679" s="157"/>
      <c r="E679" s="157"/>
      <c r="F679" s="157"/>
      <c r="G679" s="157"/>
      <c r="H679" s="157"/>
    </row>
    <row r="680" spans="3:8" ht="15.75" customHeight="1" x14ac:dyDescent="0.2">
      <c r="C680" s="157"/>
      <c r="D680" s="157"/>
      <c r="E680" s="157"/>
      <c r="F680" s="157"/>
      <c r="G680" s="157"/>
      <c r="H680" s="157"/>
    </row>
    <row r="681" spans="3:8" ht="15.75" customHeight="1" x14ac:dyDescent="0.2">
      <c r="C681" s="157"/>
      <c r="D681" s="157"/>
      <c r="E681" s="157"/>
      <c r="F681" s="157"/>
      <c r="G681" s="157"/>
      <c r="H681" s="157"/>
    </row>
    <row r="682" spans="3:8" ht="15.75" customHeight="1" x14ac:dyDescent="0.2">
      <c r="C682" s="157"/>
      <c r="D682" s="157"/>
      <c r="E682" s="157"/>
      <c r="F682" s="157"/>
      <c r="G682" s="157"/>
      <c r="H682" s="157"/>
    </row>
    <row r="683" spans="3:8" ht="15.75" customHeight="1" x14ac:dyDescent="0.2">
      <c r="C683" s="157"/>
      <c r="D683" s="157"/>
      <c r="E683" s="157"/>
      <c r="F683" s="157"/>
      <c r="G683" s="157"/>
      <c r="H683" s="157"/>
    </row>
    <row r="684" spans="3:8" ht="15.75" customHeight="1" x14ac:dyDescent="0.2">
      <c r="C684" s="157"/>
      <c r="D684" s="157"/>
      <c r="E684" s="157"/>
      <c r="F684" s="157"/>
      <c r="G684" s="157"/>
      <c r="H684" s="157"/>
    </row>
    <row r="685" spans="3:8" ht="15.75" customHeight="1" x14ac:dyDescent="0.2">
      <c r="C685" s="157"/>
      <c r="D685" s="157"/>
      <c r="E685" s="157"/>
      <c r="F685" s="157"/>
      <c r="G685" s="157"/>
      <c r="H685" s="157"/>
    </row>
    <row r="686" spans="3:8" ht="15.75" customHeight="1" x14ac:dyDescent="0.2">
      <c r="C686" s="157"/>
      <c r="D686" s="157"/>
      <c r="E686" s="157"/>
      <c r="F686" s="157"/>
      <c r="G686" s="157"/>
      <c r="H686" s="157"/>
    </row>
    <row r="687" spans="3:8" ht="15.75" customHeight="1" x14ac:dyDescent="0.2">
      <c r="C687" s="157"/>
      <c r="D687" s="157"/>
      <c r="E687" s="157"/>
      <c r="F687" s="157"/>
      <c r="G687" s="157"/>
      <c r="H687" s="157"/>
    </row>
    <row r="688" spans="3:8" ht="15.75" customHeight="1" x14ac:dyDescent="0.2">
      <c r="C688" s="157"/>
      <c r="D688" s="157"/>
      <c r="E688" s="157"/>
      <c r="F688" s="157"/>
      <c r="G688" s="157"/>
      <c r="H688" s="157"/>
    </row>
    <row r="689" spans="3:8" ht="15.75" customHeight="1" x14ac:dyDescent="0.2">
      <c r="C689" s="157"/>
      <c r="D689" s="157"/>
      <c r="E689" s="157"/>
      <c r="F689" s="157"/>
      <c r="G689" s="157"/>
      <c r="H689" s="157"/>
    </row>
    <row r="690" spans="3:8" ht="15.75" customHeight="1" x14ac:dyDescent="0.2">
      <c r="C690" s="157"/>
      <c r="D690" s="157"/>
      <c r="E690" s="157"/>
      <c r="F690" s="157"/>
      <c r="G690" s="157"/>
      <c r="H690" s="157"/>
    </row>
    <row r="691" spans="3:8" ht="15.75" customHeight="1" x14ac:dyDescent="0.2">
      <c r="C691" s="157"/>
      <c r="D691" s="157"/>
      <c r="E691" s="157"/>
      <c r="F691" s="157"/>
      <c r="G691" s="157"/>
      <c r="H691" s="157"/>
    </row>
    <row r="692" spans="3:8" ht="15.75" customHeight="1" x14ac:dyDescent="0.2">
      <c r="C692" s="157"/>
      <c r="D692" s="157"/>
      <c r="E692" s="157"/>
      <c r="F692" s="157"/>
      <c r="G692" s="157"/>
      <c r="H692" s="157"/>
    </row>
    <row r="693" spans="3:8" ht="15.75" customHeight="1" x14ac:dyDescent="0.2">
      <c r="C693" s="157"/>
      <c r="D693" s="157"/>
      <c r="E693" s="157"/>
      <c r="F693" s="157"/>
      <c r="G693" s="157"/>
      <c r="H693" s="157"/>
    </row>
    <row r="694" spans="3:8" ht="15.75" customHeight="1" x14ac:dyDescent="0.2">
      <c r="C694" s="157"/>
      <c r="D694" s="157"/>
      <c r="E694" s="157"/>
      <c r="F694" s="157"/>
      <c r="G694" s="157"/>
      <c r="H694" s="157"/>
    </row>
    <row r="695" spans="3:8" ht="15.75" customHeight="1" x14ac:dyDescent="0.2">
      <c r="C695" s="157"/>
      <c r="D695" s="157"/>
      <c r="E695" s="157"/>
      <c r="F695" s="157"/>
      <c r="G695" s="157"/>
      <c r="H695" s="157"/>
    </row>
    <row r="696" spans="3:8" ht="15.75" customHeight="1" x14ac:dyDescent="0.2">
      <c r="C696" s="157"/>
      <c r="D696" s="157"/>
      <c r="E696" s="157"/>
      <c r="F696" s="157"/>
      <c r="G696" s="157"/>
      <c r="H696" s="157"/>
    </row>
    <row r="697" spans="3:8" ht="15.75" customHeight="1" x14ac:dyDescent="0.2">
      <c r="C697" s="157"/>
      <c r="D697" s="157"/>
      <c r="E697" s="157"/>
      <c r="F697" s="157"/>
      <c r="G697" s="157"/>
      <c r="H697" s="157"/>
    </row>
    <row r="698" spans="3:8" ht="15.75" customHeight="1" x14ac:dyDescent="0.2">
      <c r="C698" s="157"/>
      <c r="D698" s="157"/>
      <c r="E698" s="157"/>
      <c r="F698" s="157"/>
      <c r="G698" s="157"/>
      <c r="H698" s="157"/>
    </row>
    <row r="699" spans="3:8" ht="15.75" customHeight="1" x14ac:dyDescent="0.2">
      <c r="C699" s="157"/>
      <c r="D699" s="157"/>
      <c r="E699" s="157"/>
      <c r="F699" s="157"/>
      <c r="G699" s="157"/>
      <c r="H699" s="157"/>
    </row>
    <row r="700" spans="3:8" ht="15.75" customHeight="1" x14ac:dyDescent="0.2">
      <c r="C700" s="157"/>
      <c r="D700" s="157"/>
      <c r="E700" s="157"/>
      <c r="F700" s="157"/>
      <c r="G700" s="157"/>
      <c r="H700" s="157"/>
    </row>
    <row r="701" spans="3:8" ht="15.75" customHeight="1" x14ac:dyDescent="0.2">
      <c r="C701" s="157"/>
      <c r="D701" s="157"/>
      <c r="E701" s="157"/>
      <c r="F701" s="157"/>
      <c r="G701" s="157"/>
      <c r="H701" s="157"/>
    </row>
    <row r="702" spans="3:8" ht="15.75" customHeight="1" x14ac:dyDescent="0.2">
      <c r="C702" s="157"/>
      <c r="D702" s="157"/>
      <c r="E702" s="157"/>
      <c r="F702" s="157"/>
      <c r="G702" s="157"/>
      <c r="H702" s="157"/>
    </row>
    <row r="703" spans="3:8" ht="15.75" customHeight="1" x14ac:dyDescent="0.2">
      <c r="C703" s="157"/>
      <c r="D703" s="157"/>
      <c r="E703" s="157"/>
      <c r="F703" s="157"/>
      <c r="G703" s="157"/>
      <c r="H703" s="157"/>
    </row>
    <row r="704" spans="3:8" ht="15.75" customHeight="1" x14ac:dyDescent="0.2">
      <c r="C704" s="157"/>
      <c r="D704" s="157"/>
      <c r="E704" s="157"/>
      <c r="F704" s="157"/>
      <c r="G704" s="157"/>
      <c r="H704" s="157"/>
    </row>
    <row r="705" spans="3:8" ht="15.75" customHeight="1" x14ac:dyDescent="0.2">
      <c r="C705" s="157"/>
      <c r="D705" s="157"/>
      <c r="E705" s="157"/>
      <c r="F705" s="157"/>
      <c r="G705" s="157"/>
      <c r="H705" s="157"/>
    </row>
    <row r="706" spans="3:8" ht="15.75" customHeight="1" x14ac:dyDescent="0.2">
      <c r="C706" s="157"/>
      <c r="D706" s="157"/>
      <c r="E706" s="157"/>
      <c r="F706" s="157"/>
      <c r="G706" s="157"/>
      <c r="H706" s="157"/>
    </row>
    <row r="707" spans="3:8" ht="15.75" customHeight="1" x14ac:dyDescent="0.2">
      <c r="C707" s="157"/>
      <c r="D707" s="157"/>
      <c r="E707" s="157"/>
      <c r="F707" s="157"/>
      <c r="G707" s="157"/>
      <c r="H707" s="157"/>
    </row>
    <row r="708" spans="3:8" ht="15.75" customHeight="1" x14ac:dyDescent="0.2">
      <c r="C708" s="157"/>
      <c r="D708" s="157"/>
      <c r="E708" s="157"/>
      <c r="F708" s="157"/>
      <c r="G708" s="157"/>
      <c r="H708" s="157"/>
    </row>
    <row r="709" spans="3:8" ht="15.75" customHeight="1" x14ac:dyDescent="0.2">
      <c r="C709" s="157"/>
      <c r="D709" s="157"/>
      <c r="E709" s="157"/>
      <c r="F709" s="157"/>
      <c r="G709" s="157"/>
      <c r="H709" s="157"/>
    </row>
    <row r="710" spans="3:8" ht="15.75" customHeight="1" x14ac:dyDescent="0.2">
      <c r="C710" s="157"/>
      <c r="D710" s="157"/>
      <c r="E710" s="157"/>
      <c r="F710" s="157"/>
      <c r="G710" s="157"/>
      <c r="H710" s="157"/>
    </row>
    <row r="711" spans="3:8" ht="15.75" customHeight="1" x14ac:dyDescent="0.2">
      <c r="C711" s="157"/>
      <c r="D711" s="157"/>
      <c r="E711" s="157"/>
      <c r="F711" s="157"/>
      <c r="G711" s="157"/>
      <c r="H711" s="157"/>
    </row>
    <row r="712" spans="3:8" ht="15.75" customHeight="1" x14ac:dyDescent="0.2">
      <c r="C712" s="157"/>
      <c r="D712" s="157"/>
      <c r="E712" s="157"/>
      <c r="F712" s="157"/>
      <c r="G712" s="157"/>
      <c r="H712" s="157"/>
    </row>
    <row r="713" spans="3:8" ht="15.75" customHeight="1" x14ac:dyDescent="0.2">
      <c r="C713" s="157"/>
      <c r="D713" s="157"/>
      <c r="E713" s="157"/>
      <c r="F713" s="157"/>
      <c r="G713" s="157"/>
      <c r="H713" s="157"/>
    </row>
    <row r="714" spans="3:8" ht="15.75" customHeight="1" x14ac:dyDescent="0.2">
      <c r="C714" s="157"/>
      <c r="D714" s="157"/>
      <c r="E714" s="157"/>
      <c r="F714" s="157"/>
      <c r="G714" s="157"/>
      <c r="H714" s="157"/>
    </row>
    <row r="715" spans="3:8" ht="15.75" customHeight="1" x14ac:dyDescent="0.2">
      <c r="C715" s="157"/>
      <c r="D715" s="157"/>
      <c r="E715" s="157"/>
      <c r="F715" s="157"/>
      <c r="G715" s="157"/>
      <c r="H715" s="157"/>
    </row>
    <row r="716" spans="3:8" ht="15.75" customHeight="1" x14ac:dyDescent="0.2">
      <c r="C716" s="157"/>
      <c r="D716" s="157"/>
      <c r="E716" s="157"/>
      <c r="F716" s="157"/>
      <c r="G716" s="157"/>
      <c r="H716" s="157"/>
    </row>
    <row r="717" spans="3:8" ht="15.75" customHeight="1" x14ac:dyDescent="0.2">
      <c r="C717" s="157"/>
      <c r="D717" s="157"/>
      <c r="E717" s="157"/>
      <c r="F717" s="157"/>
      <c r="G717" s="157"/>
      <c r="H717" s="157"/>
    </row>
    <row r="718" spans="3:8" ht="15.75" customHeight="1" x14ac:dyDescent="0.2">
      <c r="C718" s="157"/>
      <c r="D718" s="157"/>
      <c r="E718" s="157"/>
      <c r="F718" s="157"/>
      <c r="G718" s="157"/>
      <c r="H718" s="157"/>
    </row>
    <row r="719" spans="3:8" ht="15.75" customHeight="1" x14ac:dyDescent="0.2">
      <c r="C719" s="157"/>
      <c r="D719" s="157"/>
      <c r="E719" s="157"/>
      <c r="F719" s="157"/>
      <c r="G719" s="157"/>
      <c r="H719" s="157"/>
    </row>
    <row r="720" spans="3:8" ht="15.75" customHeight="1" x14ac:dyDescent="0.2">
      <c r="C720" s="157"/>
      <c r="D720" s="157"/>
      <c r="E720" s="157"/>
      <c r="F720" s="157"/>
      <c r="G720" s="157"/>
      <c r="H720" s="157"/>
    </row>
    <row r="721" spans="3:8" ht="15.75" customHeight="1" x14ac:dyDescent="0.2">
      <c r="C721" s="157"/>
      <c r="D721" s="157"/>
      <c r="E721" s="157"/>
      <c r="F721" s="157"/>
      <c r="G721" s="157"/>
      <c r="H721" s="157"/>
    </row>
    <row r="722" spans="3:8" ht="15.75" customHeight="1" x14ac:dyDescent="0.2">
      <c r="C722" s="157"/>
      <c r="D722" s="157"/>
      <c r="E722" s="157"/>
      <c r="F722" s="157"/>
      <c r="G722" s="157"/>
      <c r="H722" s="157"/>
    </row>
    <row r="723" spans="3:8" ht="15.75" customHeight="1" x14ac:dyDescent="0.2">
      <c r="C723" s="157"/>
      <c r="D723" s="157"/>
      <c r="E723" s="157"/>
      <c r="F723" s="157"/>
      <c r="G723" s="157"/>
      <c r="H723" s="157"/>
    </row>
    <row r="724" spans="3:8" ht="15.75" customHeight="1" x14ac:dyDescent="0.2">
      <c r="C724" s="157"/>
      <c r="D724" s="157"/>
      <c r="E724" s="157"/>
      <c r="F724" s="157"/>
      <c r="G724" s="157"/>
      <c r="H724" s="157"/>
    </row>
    <row r="725" spans="3:8" ht="15.75" customHeight="1" x14ac:dyDescent="0.2">
      <c r="C725" s="157"/>
      <c r="D725" s="157"/>
      <c r="E725" s="157"/>
      <c r="F725" s="157"/>
      <c r="G725" s="157"/>
      <c r="H725" s="157"/>
    </row>
    <row r="726" spans="3:8" ht="15.75" customHeight="1" x14ac:dyDescent="0.2">
      <c r="C726" s="157"/>
      <c r="D726" s="157"/>
      <c r="E726" s="157"/>
      <c r="F726" s="157"/>
      <c r="G726" s="157"/>
      <c r="H726" s="157"/>
    </row>
    <row r="727" spans="3:8" ht="15.75" customHeight="1" x14ac:dyDescent="0.2">
      <c r="C727" s="157"/>
      <c r="D727" s="157"/>
      <c r="E727" s="157"/>
      <c r="F727" s="157"/>
      <c r="G727" s="157"/>
      <c r="H727" s="157"/>
    </row>
    <row r="728" spans="3:8" ht="15.75" customHeight="1" x14ac:dyDescent="0.2">
      <c r="C728" s="157"/>
      <c r="D728" s="157"/>
      <c r="E728" s="157"/>
      <c r="F728" s="157"/>
      <c r="G728" s="157"/>
      <c r="H728" s="157"/>
    </row>
    <row r="729" spans="3:8" ht="15.75" customHeight="1" x14ac:dyDescent="0.2">
      <c r="C729" s="157"/>
      <c r="D729" s="157"/>
      <c r="E729" s="157"/>
      <c r="F729" s="157"/>
      <c r="G729" s="157"/>
      <c r="H729" s="157"/>
    </row>
    <row r="730" spans="3:8" ht="15.75" customHeight="1" x14ac:dyDescent="0.2">
      <c r="C730" s="157"/>
      <c r="D730" s="157"/>
      <c r="E730" s="157"/>
      <c r="F730" s="157"/>
      <c r="G730" s="157"/>
      <c r="H730" s="157"/>
    </row>
    <row r="731" spans="3:8" ht="15.75" customHeight="1" x14ac:dyDescent="0.2">
      <c r="C731" s="157"/>
      <c r="D731" s="157"/>
      <c r="E731" s="157"/>
      <c r="F731" s="157"/>
      <c r="G731" s="157"/>
      <c r="H731" s="157"/>
    </row>
    <row r="732" spans="3:8" ht="15.75" customHeight="1" x14ac:dyDescent="0.2">
      <c r="C732" s="157"/>
      <c r="D732" s="157"/>
      <c r="E732" s="157"/>
      <c r="F732" s="157"/>
      <c r="G732" s="157"/>
      <c r="H732" s="157"/>
    </row>
    <row r="733" spans="3:8" ht="15.75" customHeight="1" x14ac:dyDescent="0.2">
      <c r="C733" s="157"/>
      <c r="D733" s="157"/>
      <c r="E733" s="157"/>
      <c r="F733" s="157"/>
      <c r="G733" s="157"/>
      <c r="H733" s="157"/>
    </row>
    <row r="734" spans="3:8" ht="15.75" customHeight="1" x14ac:dyDescent="0.2">
      <c r="C734" s="157"/>
      <c r="D734" s="157"/>
      <c r="E734" s="157"/>
      <c r="F734" s="157"/>
      <c r="G734" s="157"/>
      <c r="H734" s="157"/>
    </row>
    <row r="735" spans="3:8" ht="15.75" customHeight="1" x14ac:dyDescent="0.2">
      <c r="C735" s="157"/>
      <c r="D735" s="157"/>
      <c r="E735" s="157"/>
      <c r="F735" s="157"/>
      <c r="G735" s="157"/>
      <c r="H735" s="157"/>
    </row>
    <row r="736" spans="3:8" ht="15.75" customHeight="1" x14ac:dyDescent="0.2">
      <c r="C736" s="157"/>
      <c r="D736" s="157"/>
      <c r="E736" s="157"/>
      <c r="F736" s="157"/>
      <c r="G736" s="157"/>
      <c r="H736" s="157"/>
    </row>
    <row r="737" spans="3:8" ht="15.75" customHeight="1" x14ac:dyDescent="0.2">
      <c r="C737" s="157"/>
      <c r="D737" s="157"/>
      <c r="E737" s="157"/>
      <c r="F737" s="157"/>
      <c r="G737" s="157"/>
      <c r="H737" s="157"/>
    </row>
    <row r="738" spans="3:8" ht="15.75" customHeight="1" x14ac:dyDescent="0.2">
      <c r="C738" s="157"/>
      <c r="D738" s="157"/>
      <c r="E738" s="157"/>
      <c r="F738" s="157"/>
      <c r="G738" s="157"/>
      <c r="H738" s="157"/>
    </row>
    <row r="739" spans="3:8" ht="15.75" customHeight="1" x14ac:dyDescent="0.2">
      <c r="C739" s="157"/>
      <c r="D739" s="157"/>
      <c r="E739" s="157"/>
      <c r="F739" s="157"/>
      <c r="G739" s="157"/>
      <c r="H739" s="157"/>
    </row>
    <row r="740" spans="3:8" ht="15.75" customHeight="1" x14ac:dyDescent="0.2">
      <c r="C740" s="157"/>
      <c r="D740" s="157"/>
      <c r="E740" s="157"/>
      <c r="F740" s="157"/>
      <c r="G740" s="157"/>
      <c r="H740" s="157"/>
    </row>
    <row r="741" spans="3:8" ht="15.75" customHeight="1" x14ac:dyDescent="0.2">
      <c r="C741" s="157"/>
      <c r="D741" s="157"/>
      <c r="E741" s="157"/>
      <c r="F741" s="157"/>
      <c r="G741" s="157"/>
      <c r="H741" s="157"/>
    </row>
    <row r="742" spans="3:8" ht="15.75" customHeight="1" x14ac:dyDescent="0.2">
      <c r="C742" s="157"/>
      <c r="D742" s="157"/>
      <c r="E742" s="157"/>
      <c r="F742" s="157"/>
      <c r="G742" s="157"/>
      <c r="H742" s="157"/>
    </row>
    <row r="743" spans="3:8" ht="15.75" customHeight="1" x14ac:dyDescent="0.2">
      <c r="C743" s="157"/>
      <c r="D743" s="157"/>
      <c r="E743" s="157"/>
      <c r="F743" s="157"/>
      <c r="G743" s="157"/>
      <c r="H743" s="157"/>
    </row>
    <row r="744" spans="3:8" ht="15.75" customHeight="1" x14ac:dyDescent="0.2">
      <c r="C744" s="157"/>
      <c r="D744" s="157"/>
      <c r="E744" s="157"/>
      <c r="F744" s="157"/>
      <c r="G744" s="157"/>
      <c r="H744" s="157"/>
    </row>
    <row r="745" spans="3:8" ht="15.75" customHeight="1" x14ac:dyDescent="0.2">
      <c r="C745" s="157"/>
      <c r="D745" s="157"/>
      <c r="E745" s="157"/>
      <c r="F745" s="157"/>
      <c r="G745" s="157"/>
      <c r="H745" s="157"/>
    </row>
    <row r="746" spans="3:8" ht="15.75" customHeight="1" x14ac:dyDescent="0.2">
      <c r="C746" s="157"/>
      <c r="D746" s="157"/>
      <c r="E746" s="157"/>
      <c r="F746" s="157"/>
      <c r="G746" s="157"/>
      <c r="H746" s="157"/>
    </row>
    <row r="747" spans="3:8" ht="15.75" customHeight="1" x14ac:dyDescent="0.2">
      <c r="C747" s="157"/>
      <c r="D747" s="157"/>
      <c r="E747" s="157"/>
      <c r="F747" s="157"/>
      <c r="G747" s="157"/>
      <c r="H747" s="157"/>
    </row>
    <row r="748" spans="3:8" ht="15.75" customHeight="1" x14ac:dyDescent="0.2">
      <c r="C748" s="157"/>
      <c r="D748" s="157"/>
      <c r="E748" s="157"/>
      <c r="F748" s="157"/>
      <c r="G748" s="157"/>
      <c r="H748" s="157"/>
    </row>
    <row r="749" spans="3:8" ht="15.75" customHeight="1" x14ac:dyDescent="0.2">
      <c r="C749" s="157"/>
      <c r="D749" s="157"/>
      <c r="E749" s="157"/>
      <c r="F749" s="157"/>
      <c r="G749" s="157"/>
      <c r="H749" s="157"/>
    </row>
    <row r="750" spans="3:8" ht="15.75" customHeight="1" x14ac:dyDescent="0.2">
      <c r="C750" s="157"/>
      <c r="D750" s="157"/>
      <c r="E750" s="157"/>
      <c r="F750" s="157"/>
      <c r="G750" s="157"/>
      <c r="H750" s="157"/>
    </row>
    <row r="751" spans="3:8" ht="15.75" customHeight="1" x14ac:dyDescent="0.2">
      <c r="C751" s="157"/>
      <c r="D751" s="157"/>
      <c r="E751" s="157"/>
      <c r="F751" s="157"/>
      <c r="G751" s="157"/>
      <c r="H751" s="157"/>
    </row>
    <row r="752" spans="3:8" ht="15.75" customHeight="1" x14ac:dyDescent="0.2">
      <c r="C752" s="157"/>
      <c r="D752" s="157"/>
      <c r="E752" s="157"/>
      <c r="F752" s="157"/>
      <c r="G752" s="157"/>
      <c r="H752" s="157"/>
    </row>
    <row r="753" spans="3:8" ht="15.75" customHeight="1" x14ac:dyDescent="0.2">
      <c r="C753" s="157"/>
      <c r="D753" s="157"/>
      <c r="E753" s="157"/>
      <c r="F753" s="157"/>
      <c r="G753" s="157"/>
      <c r="H753" s="157"/>
    </row>
    <row r="754" spans="3:8" ht="15.75" customHeight="1" x14ac:dyDescent="0.2">
      <c r="C754" s="157"/>
      <c r="D754" s="157"/>
      <c r="E754" s="157"/>
      <c r="F754" s="157"/>
      <c r="G754" s="157"/>
      <c r="H754" s="157"/>
    </row>
    <row r="755" spans="3:8" ht="15.75" customHeight="1" x14ac:dyDescent="0.2">
      <c r="C755" s="157"/>
      <c r="D755" s="157"/>
      <c r="E755" s="157"/>
      <c r="F755" s="157"/>
      <c r="G755" s="157"/>
      <c r="H755" s="157"/>
    </row>
    <row r="756" spans="3:8" ht="15.75" customHeight="1" x14ac:dyDescent="0.2">
      <c r="C756" s="157"/>
      <c r="D756" s="157"/>
      <c r="E756" s="157"/>
      <c r="F756" s="157"/>
      <c r="G756" s="157"/>
      <c r="H756" s="157"/>
    </row>
    <row r="757" spans="3:8" ht="15.75" customHeight="1" x14ac:dyDescent="0.2">
      <c r="C757" s="157"/>
      <c r="D757" s="157"/>
      <c r="E757" s="157"/>
      <c r="F757" s="157"/>
      <c r="G757" s="157"/>
      <c r="H757" s="157"/>
    </row>
    <row r="758" spans="3:8" ht="15.75" customHeight="1" x14ac:dyDescent="0.2">
      <c r="C758" s="157"/>
      <c r="D758" s="157"/>
      <c r="E758" s="157"/>
      <c r="F758" s="157"/>
      <c r="G758" s="157"/>
      <c r="H758" s="157"/>
    </row>
    <row r="759" spans="3:8" ht="15.75" customHeight="1" x14ac:dyDescent="0.2">
      <c r="C759" s="157"/>
      <c r="D759" s="157"/>
      <c r="E759" s="157"/>
      <c r="F759" s="157"/>
      <c r="G759" s="157"/>
      <c r="H759" s="157"/>
    </row>
    <row r="760" spans="3:8" ht="15.75" customHeight="1" x14ac:dyDescent="0.2">
      <c r="C760" s="157"/>
      <c r="D760" s="157"/>
      <c r="E760" s="157"/>
      <c r="F760" s="157"/>
      <c r="G760" s="157"/>
      <c r="H760" s="157"/>
    </row>
    <row r="761" spans="3:8" ht="15.75" customHeight="1" x14ac:dyDescent="0.2">
      <c r="C761" s="157"/>
      <c r="D761" s="157"/>
      <c r="E761" s="157"/>
      <c r="F761" s="157"/>
      <c r="G761" s="157"/>
      <c r="H761" s="157"/>
    </row>
    <row r="762" spans="3:8" ht="15.75" customHeight="1" x14ac:dyDescent="0.2">
      <c r="C762" s="157"/>
      <c r="D762" s="157"/>
      <c r="E762" s="157"/>
      <c r="F762" s="157"/>
      <c r="G762" s="157"/>
      <c r="H762" s="157"/>
    </row>
    <row r="763" spans="3:8" ht="15.75" customHeight="1" x14ac:dyDescent="0.2">
      <c r="C763" s="157"/>
      <c r="D763" s="157"/>
      <c r="E763" s="157"/>
      <c r="F763" s="157"/>
      <c r="G763" s="157"/>
      <c r="H763" s="157"/>
    </row>
    <row r="764" spans="3:8" ht="15.75" customHeight="1" x14ac:dyDescent="0.2">
      <c r="C764" s="157"/>
      <c r="D764" s="157"/>
      <c r="E764" s="157"/>
      <c r="F764" s="157"/>
      <c r="G764" s="157"/>
      <c r="H764" s="157"/>
    </row>
    <row r="765" spans="3:8" ht="15.75" customHeight="1" x14ac:dyDescent="0.2">
      <c r="C765" s="157"/>
      <c r="D765" s="157"/>
      <c r="E765" s="157"/>
      <c r="F765" s="157"/>
      <c r="G765" s="157"/>
      <c r="H765" s="157"/>
    </row>
    <row r="766" spans="3:8" ht="15.75" customHeight="1" x14ac:dyDescent="0.2">
      <c r="C766" s="157"/>
      <c r="D766" s="157"/>
      <c r="E766" s="157"/>
      <c r="F766" s="157"/>
      <c r="G766" s="157"/>
      <c r="H766" s="157"/>
    </row>
    <row r="767" spans="3:8" ht="15.75" customHeight="1" x14ac:dyDescent="0.2">
      <c r="C767" s="157"/>
      <c r="D767" s="157"/>
      <c r="E767" s="157"/>
      <c r="F767" s="157"/>
      <c r="G767" s="157"/>
      <c r="H767" s="157"/>
    </row>
    <row r="768" spans="3:8" ht="15.75" customHeight="1" x14ac:dyDescent="0.2">
      <c r="C768" s="157"/>
      <c r="D768" s="157"/>
      <c r="E768" s="157"/>
      <c r="F768" s="157"/>
      <c r="G768" s="157"/>
      <c r="H768" s="157"/>
    </row>
    <row r="769" spans="3:8" ht="15.75" customHeight="1" x14ac:dyDescent="0.2">
      <c r="C769" s="157"/>
      <c r="D769" s="157"/>
      <c r="E769" s="157"/>
      <c r="F769" s="157"/>
      <c r="G769" s="157"/>
      <c r="H769" s="157"/>
    </row>
    <row r="770" spans="3:8" ht="15.75" customHeight="1" x14ac:dyDescent="0.2">
      <c r="C770" s="157"/>
      <c r="D770" s="157"/>
      <c r="E770" s="157"/>
      <c r="F770" s="157"/>
      <c r="G770" s="157"/>
      <c r="H770" s="157"/>
    </row>
    <row r="771" spans="3:8" ht="15.75" customHeight="1" x14ac:dyDescent="0.2">
      <c r="C771" s="157"/>
      <c r="D771" s="157"/>
      <c r="E771" s="157"/>
      <c r="F771" s="157"/>
      <c r="G771" s="157"/>
      <c r="H771" s="157"/>
    </row>
    <row r="772" spans="3:8" ht="15.75" customHeight="1" x14ac:dyDescent="0.2">
      <c r="C772" s="157"/>
      <c r="D772" s="157"/>
      <c r="E772" s="157"/>
      <c r="F772" s="157"/>
      <c r="G772" s="157"/>
      <c r="H772" s="157"/>
    </row>
    <row r="773" spans="3:8" ht="15.75" customHeight="1" x14ac:dyDescent="0.2">
      <c r="C773" s="157"/>
      <c r="D773" s="157"/>
      <c r="E773" s="157"/>
      <c r="F773" s="157"/>
      <c r="G773" s="157"/>
      <c r="H773" s="157"/>
    </row>
    <row r="774" spans="3:8" ht="15.75" customHeight="1" x14ac:dyDescent="0.2">
      <c r="C774" s="157"/>
      <c r="D774" s="157"/>
      <c r="E774" s="157"/>
      <c r="F774" s="157"/>
      <c r="G774" s="157"/>
      <c r="H774" s="157"/>
    </row>
    <row r="775" spans="3:8" ht="15.75" customHeight="1" x14ac:dyDescent="0.2">
      <c r="C775" s="157"/>
      <c r="D775" s="157"/>
      <c r="E775" s="157"/>
      <c r="F775" s="157"/>
      <c r="G775" s="157"/>
      <c r="H775" s="157"/>
    </row>
    <row r="776" spans="3:8" ht="15.75" customHeight="1" x14ac:dyDescent="0.2">
      <c r="C776" s="157"/>
      <c r="D776" s="157"/>
      <c r="E776" s="157"/>
      <c r="F776" s="157"/>
      <c r="G776" s="157"/>
      <c r="H776" s="157"/>
    </row>
    <row r="777" spans="3:8" ht="15.75" customHeight="1" x14ac:dyDescent="0.2">
      <c r="C777" s="157"/>
      <c r="D777" s="157"/>
      <c r="E777" s="157"/>
      <c r="F777" s="157"/>
      <c r="G777" s="157"/>
      <c r="H777" s="157"/>
    </row>
    <row r="778" spans="3:8" ht="15.75" customHeight="1" x14ac:dyDescent="0.2">
      <c r="C778" s="157"/>
      <c r="D778" s="157"/>
      <c r="E778" s="157"/>
      <c r="F778" s="157"/>
      <c r="G778" s="157"/>
      <c r="H778" s="157"/>
    </row>
    <row r="779" spans="3:8" ht="15.75" customHeight="1" x14ac:dyDescent="0.2">
      <c r="C779" s="157"/>
      <c r="D779" s="157"/>
      <c r="E779" s="157"/>
      <c r="F779" s="157"/>
      <c r="G779" s="157"/>
      <c r="H779" s="157"/>
    </row>
    <row r="780" spans="3:8" ht="15.75" customHeight="1" x14ac:dyDescent="0.2">
      <c r="C780" s="157"/>
      <c r="D780" s="157"/>
      <c r="E780" s="157"/>
      <c r="F780" s="157"/>
      <c r="G780" s="157"/>
      <c r="H780" s="157"/>
    </row>
    <row r="781" spans="3:8" ht="15.75" customHeight="1" x14ac:dyDescent="0.2">
      <c r="C781" s="157"/>
      <c r="D781" s="157"/>
      <c r="E781" s="157"/>
      <c r="F781" s="157"/>
      <c r="G781" s="157"/>
      <c r="H781" s="157"/>
    </row>
    <row r="782" spans="3:8" ht="15.75" customHeight="1" x14ac:dyDescent="0.2">
      <c r="C782" s="157"/>
      <c r="D782" s="157"/>
      <c r="E782" s="157"/>
      <c r="F782" s="157"/>
      <c r="G782" s="157"/>
      <c r="H782" s="157"/>
    </row>
    <row r="783" spans="3:8" ht="15.75" customHeight="1" x14ac:dyDescent="0.2">
      <c r="C783" s="157"/>
      <c r="D783" s="157"/>
      <c r="E783" s="157"/>
      <c r="F783" s="157"/>
      <c r="G783" s="157"/>
      <c r="H783" s="157"/>
    </row>
    <row r="784" spans="3:8" ht="15.75" customHeight="1" x14ac:dyDescent="0.2">
      <c r="C784" s="157"/>
      <c r="D784" s="157"/>
      <c r="E784" s="157"/>
      <c r="F784" s="157"/>
      <c r="G784" s="157"/>
      <c r="H784" s="157"/>
    </row>
    <row r="785" spans="3:8" ht="15.75" customHeight="1" x14ac:dyDescent="0.2">
      <c r="C785" s="157"/>
      <c r="D785" s="157"/>
      <c r="E785" s="157"/>
      <c r="F785" s="157"/>
      <c r="G785" s="157"/>
      <c r="H785" s="157"/>
    </row>
    <row r="786" spans="3:8" ht="15.75" customHeight="1" x14ac:dyDescent="0.2">
      <c r="C786" s="157"/>
      <c r="D786" s="157"/>
      <c r="E786" s="157"/>
      <c r="F786" s="157"/>
      <c r="G786" s="157"/>
      <c r="H786" s="157"/>
    </row>
    <row r="787" spans="3:8" ht="15.75" customHeight="1" x14ac:dyDescent="0.2">
      <c r="C787" s="157"/>
      <c r="D787" s="157"/>
      <c r="E787" s="157"/>
      <c r="F787" s="157"/>
      <c r="G787" s="157"/>
      <c r="H787" s="157"/>
    </row>
    <row r="788" spans="3:8" ht="15.75" customHeight="1" x14ac:dyDescent="0.2">
      <c r="C788" s="157"/>
      <c r="D788" s="157"/>
      <c r="E788" s="157"/>
      <c r="F788" s="157"/>
      <c r="G788" s="157"/>
      <c r="H788" s="157"/>
    </row>
    <row r="789" spans="3:8" ht="15.75" customHeight="1" x14ac:dyDescent="0.2">
      <c r="C789" s="157"/>
      <c r="D789" s="157"/>
      <c r="E789" s="157"/>
      <c r="F789" s="157"/>
      <c r="G789" s="157"/>
      <c r="H789" s="157"/>
    </row>
    <row r="790" spans="3:8" ht="15.75" customHeight="1" x14ac:dyDescent="0.2">
      <c r="C790" s="157"/>
      <c r="D790" s="157"/>
      <c r="E790" s="157"/>
      <c r="F790" s="157"/>
      <c r="G790" s="157"/>
      <c r="H790" s="157"/>
    </row>
    <row r="791" spans="3:8" ht="15.75" customHeight="1" x14ac:dyDescent="0.2">
      <c r="C791" s="157"/>
      <c r="D791" s="157"/>
      <c r="E791" s="157"/>
      <c r="F791" s="157"/>
      <c r="G791" s="157"/>
      <c r="H791" s="157"/>
    </row>
    <row r="792" spans="3:8" ht="15.75" customHeight="1" x14ac:dyDescent="0.2">
      <c r="C792" s="157"/>
      <c r="D792" s="157"/>
      <c r="E792" s="157"/>
      <c r="F792" s="157"/>
      <c r="G792" s="157"/>
      <c r="H792" s="157"/>
    </row>
    <row r="793" spans="3:8" ht="15.75" customHeight="1" x14ac:dyDescent="0.2">
      <c r="C793" s="157"/>
      <c r="D793" s="157"/>
      <c r="E793" s="157"/>
      <c r="F793" s="157"/>
      <c r="G793" s="157"/>
      <c r="H793" s="157"/>
    </row>
    <row r="794" spans="3:8" ht="15.75" customHeight="1" x14ac:dyDescent="0.2">
      <c r="C794" s="157"/>
      <c r="D794" s="157"/>
      <c r="E794" s="157"/>
      <c r="F794" s="157"/>
      <c r="G794" s="157"/>
      <c r="H794" s="157"/>
    </row>
    <row r="795" spans="3:8" ht="15.75" customHeight="1" x14ac:dyDescent="0.2">
      <c r="C795" s="157"/>
      <c r="D795" s="157"/>
      <c r="E795" s="157"/>
      <c r="F795" s="157"/>
      <c r="G795" s="157"/>
      <c r="H795" s="157"/>
    </row>
    <row r="796" spans="3:8" ht="15.75" customHeight="1" x14ac:dyDescent="0.2">
      <c r="C796" s="157"/>
      <c r="D796" s="157"/>
      <c r="E796" s="157"/>
      <c r="F796" s="157"/>
      <c r="G796" s="157"/>
      <c r="H796" s="157"/>
    </row>
    <row r="797" spans="3:8" ht="15.75" customHeight="1" x14ac:dyDescent="0.2">
      <c r="C797" s="157"/>
      <c r="D797" s="157"/>
      <c r="E797" s="157"/>
      <c r="F797" s="157"/>
      <c r="G797" s="157"/>
      <c r="H797" s="157"/>
    </row>
    <row r="798" spans="3:8" ht="15.75" customHeight="1" x14ac:dyDescent="0.2">
      <c r="C798" s="157"/>
      <c r="D798" s="157"/>
      <c r="E798" s="157"/>
      <c r="F798" s="157"/>
      <c r="G798" s="157"/>
      <c r="H798" s="157"/>
    </row>
    <row r="799" spans="3:8" ht="15.75" customHeight="1" x14ac:dyDescent="0.2">
      <c r="C799" s="157"/>
      <c r="D799" s="157"/>
      <c r="E799" s="157"/>
      <c r="F799" s="157"/>
      <c r="G799" s="157"/>
      <c r="H799" s="157"/>
    </row>
    <row r="800" spans="3:8" ht="15.75" customHeight="1" x14ac:dyDescent="0.2">
      <c r="C800" s="157"/>
      <c r="D800" s="157"/>
      <c r="E800" s="157"/>
      <c r="F800" s="157"/>
      <c r="G800" s="157"/>
      <c r="H800" s="157"/>
    </row>
    <row r="801" spans="3:8" ht="15.75" customHeight="1" x14ac:dyDescent="0.2">
      <c r="C801" s="157"/>
      <c r="D801" s="157"/>
      <c r="E801" s="157"/>
      <c r="F801" s="157"/>
      <c r="G801" s="157"/>
      <c r="H801" s="157"/>
    </row>
    <row r="802" spans="3:8" ht="15.75" customHeight="1" x14ac:dyDescent="0.2">
      <c r="C802" s="157"/>
      <c r="D802" s="157"/>
      <c r="E802" s="157"/>
      <c r="F802" s="157"/>
      <c r="G802" s="157"/>
      <c r="H802" s="157"/>
    </row>
    <row r="803" spans="3:8" ht="15.75" customHeight="1" x14ac:dyDescent="0.2">
      <c r="C803" s="157"/>
      <c r="D803" s="157"/>
      <c r="E803" s="157"/>
      <c r="F803" s="157"/>
      <c r="G803" s="157"/>
      <c r="H803" s="157"/>
    </row>
    <row r="804" spans="3:8" ht="15.75" customHeight="1" x14ac:dyDescent="0.2">
      <c r="C804" s="157"/>
      <c r="D804" s="157"/>
      <c r="E804" s="157"/>
      <c r="F804" s="157"/>
      <c r="G804" s="157"/>
      <c r="H804" s="157"/>
    </row>
    <row r="805" spans="3:8" ht="15.75" customHeight="1" x14ac:dyDescent="0.2">
      <c r="C805" s="157"/>
      <c r="D805" s="157"/>
      <c r="E805" s="157"/>
      <c r="F805" s="157"/>
      <c r="G805" s="157"/>
      <c r="H805" s="157"/>
    </row>
    <row r="806" spans="3:8" ht="15.75" customHeight="1" x14ac:dyDescent="0.2">
      <c r="C806" s="157"/>
      <c r="D806" s="157"/>
      <c r="E806" s="157"/>
      <c r="F806" s="157"/>
      <c r="G806" s="157"/>
      <c r="H806" s="157"/>
    </row>
    <row r="807" spans="3:8" ht="15.75" customHeight="1" x14ac:dyDescent="0.2">
      <c r="C807" s="157"/>
      <c r="D807" s="157"/>
      <c r="E807" s="157"/>
      <c r="F807" s="157"/>
      <c r="G807" s="157"/>
      <c r="H807" s="157"/>
    </row>
    <row r="808" spans="3:8" ht="15.75" customHeight="1" x14ac:dyDescent="0.2">
      <c r="C808" s="157"/>
      <c r="D808" s="157"/>
      <c r="E808" s="157"/>
      <c r="F808" s="157"/>
      <c r="G808" s="157"/>
      <c r="H808" s="157"/>
    </row>
    <row r="809" spans="3:8" ht="15.75" customHeight="1" x14ac:dyDescent="0.2">
      <c r="C809" s="157"/>
      <c r="D809" s="157"/>
      <c r="E809" s="157"/>
      <c r="F809" s="157"/>
      <c r="G809" s="157"/>
      <c r="H809" s="157"/>
    </row>
    <row r="810" spans="3:8" ht="15.75" customHeight="1" x14ac:dyDescent="0.2">
      <c r="C810" s="157"/>
      <c r="D810" s="157"/>
      <c r="E810" s="157"/>
      <c r="F810" s="157"/>
      <c r="G810" s="157"/>
      <c r="H810" s="157"/>
    </row>
    <row r="811" spans="3:8" ht="15.75" customHeight="1" x14ac:dyDescent="0.2">
      <c r="C811" s="157"/>
      <c r="D811" s="157"/>
      <c r="E811" s="157"/>
      <c r="F811" s="157"/>
      <c r="G811" s="157"/>
      <c r="H811" s="157"/>
    </row>
    <row r="812" spans="3:8" ht="15.75" customHeight="1" x14ac:dyDescent="0.2">
      <c r="C812" s="157"/>
      <c r="D812" s="157"/>
      <c r="E812" s="157"/>
      <c r="F812" s="157"/>
      <c r="G812" s="157"/>
      <c r="H812" s="157"/>
    </row>
    <row r="813" spans="3:8" ht="15.75" customHeight="1" x14ac:dyDescent="0.2">
      <c r="C813" s="157"/>
      <c r="D813" s="157"/>
      <c r="E813" s="157"/>
      <c r="F813" s="157"/>
      <c r="G813" s="157"/>
      <c r="H813" s="157"/>
    </row>
    <row r="814" spans="3:8" ht="15.75" customHeight="1" x14ac:dyDescent="0.2">
      <c r="C814" s="157"/>
      <c r="D814" s="157"/>
      <c r="E814" s="157"/>
      <c r="F814" s="157"/>
      <c r="G814" s="157"/>
      <c r="H814" s="157"/>
    </row>
    <row r="815" spans="3:8" ht="15.75" customHeight="1" x14ac:dyDescent="0.2">
      <c r="C815" s="157"/>
      <c r="D815" s="157"/>
      <c r="E815" s="157"/>
      <c r="F815" s="157"/>
      <c r="G815" s="157"/>
      <c r="H815" s="157"/>
    </row>
    <row r="816" spans="3:8" ht="15.75" customHeight="1" x14ac:dyDescent="0.2">
      <c r="C816" s="157"/>
      <c r="D816" s="157"/>
      <c r="E816" s="157"/>
      <c r="F816" s="157"/>
      <c r="G816" s="157"/>
      <c r="H816" s="157"/>
    </row>
    <row r="817" spans="3:8" ht="15.75" customHeight="1" x14ac:dyDescent="0.2">
      <c r="C817" s="157"/>
      <c r="D817" s="157"/>
      <c r="E817" s="157"/>
      <c r="F817" s="157"/>
      <c r="G817" s="157"/>
      <c r="H817" s="157"/>
    </row>
    <row r="818" spans="3:8" ht="15.75" customHeight="1" x14ac:dyDescent="0.2">
      <c r="C818" s="157"/>
      <c r="D818" s="157"/>
      <c r="E818" s="157"/>
      <c r="F818" s="157"/>
      <c r="G818" s="157"/>
      <c r="H818" s="157"/>
    </row>
    <row r="819" spans="3:8" ht="15.75" customHeight="1" x14ac:dyDescent="0.2">
      <c r="C819" s="157"/>
      <c r="D819" s="157"/>
      <c r="E819" s="157"/>
      <c r="F819" s="157"/>
      <c r="G819" s="157"/>
      <c r="H819" s="157"/>
    </row>
    <row r="820" spans="3:8" ht="15.75" customHeight="1" x14ac:dyDescent="0.2">
      <c r="C820" s="157"/>
      <c r="D820" s="157"/>
      <c r="E820" s="157"/>
      <c r="F820" s="157"/>
      <c r="G820" s="157"/>
      <c r="H820" s="157"/>
    </row>
    <row r="821" spans="3:8" ht="15.75" customHeight="1" x14ac:dyDescent="0.2">
      <c r="C821" s="157"/>
      <c r="D821" s="157"/>
      <c r="E821" s="157"/>
      <c r="F821" s="157"/>
      <c r="G821" s="157"/>
      <c r="H821" s="157"/>
    </row>
    <row r="822" spans="3:8" ht="15.75" customHeight="1" x14ac:dyDescent="0.2">
      <c r="C822" s="157"/>
      <c r="D822" s="157"/>
      <c r="E822" s="157"/>
      <c r="F822" s="157"/>
      <c r="G822" s="157"/>
      <c r="H822" s="157"/>
    </row>
    <row r="823" spans="3:8" ht="15.75" customHeight="1" x14ac:dyDescent="0.2">
      <c r="C823" s="157"/>
      <c r="D823" s="157"/>
      <c r="E823" s="157"/>
      <c r="F823" s="157"/>
      <c r="G823" s="157"/>
      <c r="H823" s="157"/>
    </row>
    <row r="824" spans="3:8" ht="15.75" customHeight="1" x14ac:dyDescent="0.2">
      <c r="C824" s="157"/>
      <c r="D824" s="157"/>
      <c r="E824" s="157"/>
      <c r="F824" s="157"/>
      <c r="G824" s="157"/>
      <c r="H824" s="157"/>
    </row>
    <row r="825" spans="3:8" ht="15.75" customHeight="1" x14ac:dyDescent="0.2">
      <c r="C825" s="157"/>
      <c r="D825" s="157"/>
      <c r="E825" s="157"/>
      <c r="F825" s="157"/>
      <c r="G825" s="157"/>
      <c r="H825" s="157"/>
    </row>
    <row r="826" spans="3:8" ht="15.75" customHeight="1" x14ac:dyDescent="0.2">
      <c r="C826" s="157"/>
      <c r="D826" s="157"/>
      <c r="E826" s="157"/>
      <c r="F826" s="157"/>
      <c r="G826" s="157"/>
      <c r="H826" s="157"/>
    </row>
    <row r="827" spans="3:8" ht="15.75" customHeight="1" x14ac:dyDescent="0.2">
      <c r="C827" s="157"/>
      <c r="D827" s="157"/>
      <c r="E827" s="157"/>
      <c r="F827" s="157"/>
      <c r="G827" s="157"/>
      <c r="H827" s="157"/>
    </row>
    <row r="828" spans="3:8" ht="15.75" customHeight="1" x14ac:dyDescent="0.2">
      <c r="C828" s="157"/>
      <c r="D828" s="157"/>
      <c r="E828" s="157"/>
      <c r="F828" s="157"/>
      <c r="G828" s="157"/>
      <c r="H828" s="157"/>
    </row>
    <row r="829" spans="3:8" ht="15.75" customHeight="1" x14ac:dyDescent="0.2">
      <c r="C829" s="157"/>
      <c r="D829" s="157"/>
      <c r="E829" s="157"/>
      <c r="F829" s="157"/>
      <c r="G829" s="157"/>
      <c r="H829" s="157"/>
    </row>
    <row r="830" spans="3:8" ht="15.75" customHeight="1" x14ac:dyDescent="0.2">
      <c r="C830" s="157"/>
      <c r="D830" s="157"/>
      <c r="E830" s="157"/>
      <c r="F830" s="157"/>
      <c r="G830" s="157"/>
      <c r="H830" s="157"/>
    </row>
    <row r="831" spans="3:8" ht="15.75" customHeight="1" x14ac:dyDescent="0.2">
      <c r="C831" s="157"/>
      <c r="D831" s="157"/>
      <c r="E831" s="157"/>
      <c r="F831" s="157"/>
      <c r="G831" s="157"/>
      <c r="H831" s="157"/>
    </row>
    <row r="832" spans="3:8" ht="15.75" customHeight="1" x14ac:dyDescent="0.2">
      <c r="C832" s="157"/>
      <c r="D832" s="157"/>
      <c r="E832" s="157"/>
      <c r="F832" s="157"/>
      <c r="G832" s="157"/>
      <c r="H832" s="157"/>
    </row>
    <row r="833" spans="3:8" ht="15.75" customHeight="1" x14ac:dyDescent="0.2">
      <c r="C833" s="157"/>
      <c r="D833" s="157"/>
      <c r="E833" s="157"/>
      <c r="F833" s="157"/>
      <c r="G833" s="157"/>
      <c r="H833" s="157"/>
    </row>
    <row r="834" spans="3:8" ht="15.75" customHeight="1" x14ac:dyDescent="0.2">
      <c r="C834" s="157"/>
      <c r="D834" s="157"/>
      <c r="E834" s="157"/>
      <c r="F834" s="157"/>
      <c r="G834" s="157"/>
      <c r="H834" s="157"/>
    </row>
    <row r="835" spans="3:8" ht="15.75" customHeight="1" x14ac:dyDescent="0.2">
      <c r="C835" s="157"/>
      <c r="D835" s="157"/>
      <c r="E835" s="157"/>
      <c r="F835" s="157"/>
      <c r="G835" s="157"/>
      <c r="H835" s="157"/>
    </row>
    <row r="836" spans="3:8" ht="15.75" customHeight="1" x14ac:dyDescent="0.2">
      <c r="C836" s="157"/>
      <c r="D836" s="157"/>
      <c r="E836" s="157"/>
      <c r="F836" s="157"/>
      <c r="G836" s="157"/>
      <c r="H836" s="157"/>
    </row>
    <row r="837" spans="3:8" ht="15.75" customHeight="1" x14ac:dyDescent="0.2">
      <c r="C837" s="157"/>
      <c r="D837" s="157"/>
      <c r="E837" s="157"/>
      <c r="F837" s="157"/>
      <c r="G837" s="157"/>
      <c r="H837" s="157"/>
    </row>
    <row r="838" spans="3:8" ht="15.75" customHeight="1" x14ac:dyDescent="0.2">
      <c r="C838" s="157"/>
      <c r="D838" s="157"/>
      <c r="E838" s="157"/>
      <c r="F838" s="157"/>
      <c r="G838" s="157"/>
      <c r="H838" s="157"/>
    </row>
    <row r="839" spans="3:8" ht="15.75" customHeight="1" x14ac:dyDescent="0.2">
      <c r="C839" s="157"/>
      <c r="D839" s="157"/>
      <c r="E839" s="157"/>
      <c r="F839" s="157"/>
      <c r="G839" s="157"/>
      <c r="H839" s="157"/>
    </row>
    <row r="840" spans="3:8" ht="15.75" customHeight="1" x14ac:dyDescent="0.2">
      <c r="C840" s="157"/>
      <c r="D840" s="157"/>
      <c r="E840" s="157"/>
      <c r="F840" s="157"/>
      <c r="G840" s="157"/>
      <c r="H840" s="157"/>
    </row>
    <row r="841" spans="3:8" ht="15.75" customHeight="1" x14ac:dyDescent="0.2">
      <c r="C841" s="157"/>
      <c r="D841" s="157"/>
      <c r="E841" s="157"/>
      <c r="F841" s="157"/>
      <c r="G841" s="157"/>
      <c r="H841" s="157"/>
    </row>
    <row r="842" spans="3:8" ht="15.75" customHeight="1" x14ac:dyDescent="0.2">
      <c r="C842" s="157"/>
      <c r="D842" s="157"/>
      <c r="E842" s="157"/>
      <c r="F842" s="157"/>
      <c r="G842" s="157"/>
      <c r="H842" s="157"/>
    </row>
    <row r="843" spans="3:8" ht="15.75" customHeight="1" x14ac:dyDescent="0.2">
      <c r="C843" s="157"/>
      <c r="D843" s="157"/>
      <c r="E843" s="157"/>
      <c r="F843" s="157"/>
      <c r="G843" s="157"/>
      <c r="H843" s="157"/>
    </row>
    <row r="844" spans="3:8" ht="15.75" customHeight="1" x14ac:dyDescent="0.2">
      <c r="C844" s="157"/>
      <c r="D844" s="157"/>
      <c r="E844" s="157"/>
      <c r="F844" s="157"/>
      <c r="G844" s="157"/>
      <c r="H844" s="157"/>
    </row>
    <row r="845" spans="3:8" ht="15.75" customHeight="1" x14ac:dyDescent="0.2">
      <c r="C845" s="157"/>
      <c r="D845" s="157"/>
      <c r="E845" s="157"/>
      <c r="F845" s="157"/>
      <c r="G845" s="157"/>
      <c r="H845" s="157"/>
    </row>
    <row r="846" spans="3:8" ht="15.75" customHeight="1" x14ac:dyDescent="0.2">
      <c r="C846" s="157"/>
      <c r="D846" s="157"/>
      <c r="E846" s="157"/>
      <c r="F846" s="157"/>
      <c r="G846" s="157"/>
      <c r="H846" s="157"/>
    </row>
    <row r="847" spans="3:8" ht="15.75" customHeight="1" x14ac:dyDescent="0.2">
      <c r="C847" s="157"/>
      <c r="D847" s="157"/>
      <c r="E847" s="157"/>
      <c r="F847" s="157"/>
      <c r="G847" s="157"/>
      <c r="H847" s="157"/>
    </row>
    <row r="848" spans="3:8" ht="15.75" customHeight="1" x14ac:dyDescent="0.2">
      <c r="C848" s="157"/>
      <c r="D848" s="157"/>
      <c r="E848" s="157"/>
      <c r="F848" s="157"/>
      <c r="G848" s="157"/>
      <c r="H848" s="157"/>
    </row>
    <row r="849" spans="3:8" ht="15.75" customHeight="1" x14ac:dyDescent="0.2">
      <c r="C849" s="157"/>
      <c r="D849" s="157"/>
      <c r="E849" s="157"/>
      <c r="F849" s="157"/>
      <c r="G849" s="157"/>
      <c r="H849" s="157"/>
    </row>
    <row r="850" spans="3:8" ht="15.75" customHeight="1" x14ac:dyDescent="0.2">
      <c r="C850" s="157"/>
      <c r="D850" s="157"/>
      <c r="E850" s="157"/>
      <c r="F850" s="157"/>
      <c r="G850" s="157"/>
      <c r="H850" s="157"/>
    </row>
    <row r="851" spans="3:8" ht="15.75" customHeight="1" x14ac:dyDescent="0.2">
      <c r="C851" s="157"/>
      <c r="D851" s="157"/>
      <c r="E851" s="157"/>
      <c r="F851" s="157"/>
      <c r="G851" s="157"/>
      <c r="H851" s="157"/>
    </row>
    <row r="852" spans="3:8" ht="15.75" customHeight="1" x14ac:dyDescent="0.2">
      <c r="C852" s="157"/>
      <c r="D852" s="157"/>
      <c r="E852" s="157"/>
      <c r="F852" s="157"/>
      <c r="G852" s="157"/>
      <c r="H852" s="157"/>
    </row>
    <row r="853" spans="3:8" ht="15.75" customHeight="1" x14ac:dyDescent="0.2">
      <c r="C853" s="157"/>
      <c r="D853" s="157"/>
      <c r="E853" s="157"/>
      <c r="F853" s="157"/>
      <c r="G853" s="157"/>
      <c r="H853" s="157"/>
    </row>
    <row r="854" spans="3:8" ht="15.75" customHeight="1" x14ac:dyDescent="0.2">
      <c r="C854" s="157"/>
      <c r="D854" s="157"/>
      <c r="E854" s="157"/>
      <c r="F854" s="157"/>
      <c r="G854" s="157"/>
      <c r="H854" s="157"/>
    </row>
    <row r="855" spans="3:8" ht="15.75" customHeight="1" x14ac:dyDescent="0.2">
      <c r="C855" s="157"/>
      <c r="D855" s="157"/>
      <c r="E855" s="157"/>
      <c r="F855" s="157"/>
      <c r="G855" s="157"/>
      <c r="H855" s="157"/>
    </row>
    <row r="856" spans="3:8" ht="15.75" customHeight="1" x14ac:dyDescent="0.2">
      <c r="C856" s="157"/>
      <c r="D856" s="157"/>
      <c r="E856" s="157"/>
      <c r="F856" s="157"/>
      <c r="G856" s="157"/>
      <c r="H856" s="157"/>
    </row>
    <row r="857" spans="3:8" ht="15.75" customHeight="1" x14ac:dyDescent="0.2">
      <c r="C857" s="157"/>
      <c r="D857" s="157"/>
      <c r="E857" s="157"/>
      <c r="F857" s="157"/>
      <c r="G857" s="157"/>
      <c r="H857" s="157"/>
    </row>
    <row r="858" spans="3:8" ht="15.75" customHeight="1" x14ac:dyDescent="0.2">
      <c r="C858" s="157"/>
      <c r="D858" s="157"/>
      <c r="E858" s="157"/>
      <c r="F858" s="157"/>
      <c r="G858" s="157"/>
      <c r="H858" s="157"/>
    </row>
    <row r="859" spans="3:8" ht="15.75" customHeight="1" x14ac:dyDescent="0.2">
      <c r="C859" s="157"/>
      <c r="D859" s="157"/>
      <c r="E859" s="157"/>
      <c r="F859" s="157"/>
      <c r="G859" s="157"/>
      <c r="H859" s="157"/>
    </row>
    <row r="860" spans="3:8" ht="15.75" customHeight="1" x14ac:dyDescent="0.2">
      <c r="C860" s="157"/>
      <c r="D860" s="157"/>
      <c r="E860" s="157"/>
      <c r="F860" s="157"/>
      <c r="G860" s="157"/>
      <c r="H860" s="157"/>
    </row>
    <row r="861" spans="3:8" ht="15.75" customHeight="1" x14ac:dyDescent="0.2">
      <c r="C861" s="157"/>
      <c r="D861" s="157"/>
      <c r="E861" s="157"/>
      <c r="F861" s="157"/>
      <c r="G861" s="157"/>
      <c r="H861" s="157"/>
    </row>
    <row r="862" spans="3:8" ht="15.75" customHeight="1" x14ac:dyDescent="0.2">
      <c r="C862" s="157"/>
      <c r="D862" s="157"/>
      <c r="E862" s="157"/>
      <c r="F862" s="157"/>
      <c r="G862" s="157"/>
      <c r="H862" s="157"/>
    </row>
    <row r="863" spans="3:8" ht="15.75" customHeight="1" x14ac:dyDescent="0.2">
      <c r="C863" s="157"/>
      <c r="D863" s="157"/>
      <c r="E863" s="157"/>
      <c r="F863" s="157"/>
      <c r="G863" s="157"/>
      <c r="H863" s="157"/>
    </row>
    <row r="864" spans="3:8" ht="15.75" customHeight="1" x14ac:dyDescent="0.2">
      <c r="C864" s="157"/>
      <c r="D864" s="157"/>
      <c r="E864" s="157"/>
      <c r="F864" s="157"/>
      <c r="G864" s="157"/>
      <c r="H864" s="157"/>
    </row>
    <row r="865" spans="3:8" ht="15.75" customHeight="1" x14ac:dyDescent="0.2">
      <c r="C865" s="157"/>
      <c r="D865" s="157"/>
      <c r="E865" s="157"/>
      <c r="F865" s="157"/>
      <c r="G865" s="157"/>
      <c r="H865" s="157"/>
    </row>
    <row r="866" spans="3:8" ht="15.75" customHeight="1" x14ac:dyDescent="0.2">
      <c r="C866" s="157"/>
      <c r="D866" s="157"/>
      <c r="E866" s="157"/>
      <c r="F866" s="157"/>
      <c r="G866" s="157"/>
      <c r="H866" s="157"/>
    </row>
    <row r="867" spans="3:8" ht="15.75" customHeight="1" x14ac:dyDescent="0.2">
      <c r="C867" s="157"/>
      <c r="D867" s="157"/>
      <c r="E867" s="157"/>
      <c r="F867" s="157"/>
      <c r="G867" s="157"/>
      <c r="H867" s="157"/>
    </row>
    <row r="868" spans="3:8" ht="15.75" customHeight="1" x14ac:dyDescent="0.2">
      <c r="C868" s="157"/>
      <c r="D868" s="157"/>
      <c r="E868" s="157"/>
      <c r="F868" s="157"/>
      <c r="G868" s="157"/>
      <c r="H868" s="157"/>
    </row>
    <row r="869" spans="3:8" ht="15.75" customHeight="1" x14ac:dyDescent="0.2">
      <c r="C869" s="157"/>
      <c r="D869" s="157"/>
      <c r="E869" s="157"/>
      <c r="F869" s="157"/>
      <c r="G869" s="157"/>
      <c r="H869" s="157"/>
    </row>
    <row r="870" spans="3:8" ht="15.75" customHeight="1" x14ac:dyDescent="0.2">
      <c r="C870" s="157"/>
      <c r="D870" s="157"/>
      <c r="E870" s="157"/>
      <c r="F870" s="157"/>
      <c r="G870" s="157"/>
      <c r="H870" s="157"/>
    </row>
    <row r="871" spans="3:8" ht="15.75" customHeight="1" x14ac:dyDescent="0.2">
      <c r="C871" s="157"/>
      <c r="D871" s="157"/>
      <c r="E871" s="157"/>
      <c r="F871" s="157"/>
      <c r="G871" s="157"/>
      <c r="H871" s="157"/>
    </row>
    <row r="872" spans="3:8" ht="15.75" customHeight="1" x14ac:dyDescent="0.2">
      <c r="C872" s="157"/>
      <c r="D872" s="157"/>
      <c r="E872" s="157"/>
      <c r="F872" s="157"/>
      <c r="G872" s="157"/>
      <c r="H872" s="157"/>
    </row>
    <row r="873" spans="3:8" ht="15.75" customHeight="1" x14ac:dyDescent="0.2">
      <c r="C873" s="157"/>
      <c r="D873" s="157"/>
      <c r="E873" s="157"/>
      <c r="F873" s="157"/>
      <c r="G873" s="157"/>
      <c r="H873" s="157"/>
    </row>
    <row r="874" spans="3:8" ht="15.75" customHeight="1" x14ac:dyDescent="0.2">
      <c r="C874" s="157"/>
      <c r="D874" s="157"/>
      <c r="E874" s="157"/>
      <c r="F874" s="157"/>
      <c r="G874" s="157"/>
      <c r="H874" s="157"/>
    </row>
    <row r="875" spans="3:8" ht="15.75" customHeight="1" x14ac:dyDescent="0.2">
      <c r="C875" s="157"/>
      <c r="D875" s="157"/>
      <c r="E875" s="157"/>
      <c r="F875" s="157"/>
      <c r="G875" s="157"/>
      <c r="H875" s="157"/>
    </row>
    <row r="876" spans="3:8" ht="15.75" customHeight="1" x14ac:dyDescent="0.2">
      <c r="C876" s="157"/>
      <c r="D876" s="157"/>
      <c r="E876" s="157"/>
      <c r="F876" s="157"/>
      <c r="G876" s="157"/>
      <c r="H876" s="157"/>
    </row>
    <row r="877" spans="3:8" ht="15.75" customHeight="1" x14ac:dyDescent="0.2">
      <c r="C877" s="157"/>
      <c r="D877" s="157"/>
      <c r="E877" s="157"/>
      <c r="F877" s="157"/>
      <c r="G877" s="157"/>
      <c r="H877" s="157"/>
    </row>
    <row r="878" spans="3:8" ht="15.75" customHeight="1" x14ac:dyDescent="0.2">
      <c r="C878" s="157"/>
      <c r="D878" s="157"/>
      <c r="E878" s="157"/>
      <c r="F878" s="157"/>
      <c r="G878" s="157"/>
      <c r="H878" s="157"/>
    </row>
    <row r="879" spans="3:8" ht="15.75" customHeight="1" x14ac:dyDescent="0.2">
      <c r="C879" s="157"/>
      <c r="D879" s="157"/>
      <c r="E879" s="157"/>
      <c r="F879" s="157"/>
      <c r="G879" s="157"/>
      <c r="H879" s="157"/>
    </row>
    <row r="880" spans="3:8" ht="15.75" customHeight="1" x14ac:dyDescent="0.2">
      <c r="C880" s="157"/>
      <c r="D880" s="157"/>
      <c r="E880" s="157"/>
      <c r="F880" s="157"/>
      <c r="G880" s="157"/>
      <c r="H880" s="157"/>
    </row>
    <row r="881" spans="3:8" ht="15.75" customHeight="1" x14ac:dyDescent="0.2">
      <c r="C881" s="157"/>
      <c r="D881" s="157"/>
      <c r="E881" s="157"/>
      <c r="F881" s="157"/>
      <c r="G881" s="157"/>
      <c r="H881" s="157"/>
    </row>
    <row r="882" spans="3:8" ht="15.75" customHeight="1" x14ac:dyDescent="0.2">
      <c r="C882" s="157"/>
      <c r="D882" s="157"/>
      <c r="E882" s="157"/>
      <c r="F882" s="157"/>
      <c r="G882" s="157"/>
      <c r="H882" s="157"/>
    </row>
    <row r="883" spans="3:8" ht="15.75" customHeight="1" x14ac:dyDescent="0.2">
      <c r="C883" s="157"/>
      <c r="D883" s="157"/>
      <c r="E883" s="157"/>
      <c r="F883" s="157"/>
      <c r="G883" s="157"/>
      <c r="H883" s="157"/>
    </row>
    <row r="884" spans="3:8" ht="15.75" customHeight="1" x14ac:dyDescent="0.2">
      <c r="C884" s="157"/>
      <c r="D884" s="157"/>
      <c r="E884" s="157"/>
      <c r="F884" s="157"/>
      <c r="G884" s="157"/>
      <c r="H884" s="157"/>
    </row>
    <row r="885" spans="3:8" ht="15.75" customHeight="1" x14ac:dyDescent="0.2">
      <c r="C885" s="157"/>
      <c r="D885" s="157"/>
      <c r="E885" s="157"/>
      <c r="F885" s="157"/>
      <c r="G885" s="157"/>
      <c r="H885" s="157"/>
    </row>
    <row r="886" spans="3:8" ht="15.75" customHeight="1" x14ac:dyDescent="0.2">
      <c r="C886" s="157"/>
      <c r="D886" s="157"/>
      <c r="E886" s="157"/>
      <c r="F886" s="157"/>
      <c r="G886" s="157"/>
      <c r="H886" s="157"/>
    </row>
    <row r="887" spans="3:8" ht="15.75" customHeight="1" x14ac:dyDescent="0.2">
      <c r="C887" s="157"/>
      <c r="D887" s="157"/>
      <c r="E887" s="157"/>
      <c r="F887" s="157"/>
      <c r="G887" s="157"/>
      <c r="H887" s="157"/>
    </row>
    <row r="888" spans="3:8" ht="15.75" customHeight="1" x14ac:dyDescent="0.2">
      <c r="C888" s="157"/>
      <c r="D888" s="157"/>
      <c r="E888" s="157"/>
      <c r="F888" s="157"/>
      <c r="G888" s="157"/>
      <c r="H888" s="157"/>
    </row>
    <row r="889" spans="3:8" ht="15.75" customHeight="1" x14ac:dyDescent="0.2">
      <c r="C889" s="157"/>
      <c r="D889" s="157"/>
      <c r="E889" s="157"/>
      <c r="F889" s="157"/>
      <c r="G889" s="157"/>
      <c r="H889" s="157"/>
    </row>
    <row r="890" spans="3:8" ht="15.75" customHeight="1" x14ac:dyDescent="0.2">
      <c r="C890" s="157"/>
      <c r="D890" s="157"/>
      <c r="E890" s="157"/>
      <c r="F890" s="157"/>
      <c r="G890" s="157"/>
      <c r="H890" s="157"/>
    </row>
    <row r="891" spans="3:8" ht="15.75" customHeight="1" x14ac:dyDescent="0.2">
      <c r="C891" s="157"/>
      <c r="D891" s="157"/>
      <c r="E891" s="157"/>
      <c r="F891" s="157"/>
      <c r="G891" s="157"/>
      <c r="H891" s="157"/>
    </row>
    <row r="892" spans="3:8" ht="15.75" customHeight="1" x14ac:dyDescent="0.2">
      <c r="C892" s="157"/>
      <c r="D892" s="157"/>
      <c r="E892" s="157"/>
      <c r="F892" s="157"/>
      <c r="G892" s="157"/>
      <c r="H892" s="157"/>
    </row>
    <row r="893" spans="3:8" ht="15.75" customHeight="1" x14ac:dyDescent="0.2">
      <c r="C893" s="157"/>
      <c r="D893" s="157"/>
      <c r="E893" s="157"/>
      <c r="F893" s="157"/>
      <c r="G893" s="157"/>
      <c r="H893" s="157"/>
    </row>
    <row r="894" spans="3:8" ht="15.75" customHeight="1" x14ac:dyDescent="0.2">
      <c r="C894" s="157"/>
      <c r="D894" s="157"/>
      <c r="E894" s="157"/>
      <c r="F894" s="157"/>
      <c r="G894" s="157"/>
      <c r="H894" s="157"/>
    </row>
    <row r="895" spans="3:8" ht="15.75" customHeight="1" x14ac:dyDescent="0.2">
      <c r="C895" s="157"/>
      <c r="D895" s="157"/>
      <c r="E895" s="157"/>
      <c r="F895" s="157"/>
      <c r="G895" s="157"/>
      <c r="H895" s="157"/>
    </row>
    <row r="896" spans="3:8" ht="15.75" customHeight="1" x14ac:dyDescent="0.2">
      <c r="C896" s="157"/>
      <c r="D896" s="157"/>
      <c r="E896" s="157"/>
      <c r="F896" s="157"/>
      <c r="G896" s="157"/>
      <c r="H896" s="157"/>
    </row>
    <row r="897" spans="3:8" ht="15.75" customHeight="1" x14ac:dyDescent="0.2">
      <c r="C897" s="157"/>
      <c r="D897" s="157"/>
      <c r="E897" s="157"/>
      <c r="F897" s="157"/>
      <c r="G897" s="157"/>
      <c r="H897" s="157"/>
    </row>
    <row r="898" spans="3:8" ht="15.75" customHeight="1" x14ac:dyDescent="0.2">
      <c r="C898" s="157"/>
      <c r="D898" s="157"/>
      <c r="E898" s="157"/>
      <c r="F898" s="157"/>
      <c r="G898" s="157"/>
      <c r="H898" s="157"/>
    </row>
    <row r="899" spans="3:8" ht="15.75" customHeight="1" x14ac:dyDescent="0.2">
      <c r="C899" s="157"/>
      <c r="D899" s="157"/>
      <c r="E899" s="157"/>
      <c r="F899" s="157"/>
      <c r="G899" s="157"/>
      <c r="H899" s="157"/>
    </row>
    <row r="900" spans="3:8" ht="15.75" customHeight="1" x14ac:dyDescent="0.2">
      <c r="C900" s="157"/>
      <c r="D900" s="157"/>
      <c r="E900" s="157"/>
      <c r="F900" s="157"/>
      <c r="G900" s="157"/>
      <c r="H900" s="157"/>
    </row>
    <row r="901" spans="3:8" ht="15.75" customHeight="1" x14ac:dyDescent="0.2">
      <c r="C901" s="157"/>
      <c r="D901" s="157"/>
      <c r="E901" s="157"/>
      <c r="F901" s="157"/>
      <c r="G901" s="157"/>
      <c r="H901" s="157"/>
    </row>
    <row r="902" spans="3:8" ht="15.75" customHeight="1" x14ac:dyDescent="0.2">
      <c r="C902" s="157"/>
      <c r="D902" s="157"/>
      <c r="E902" s="157"/>
      <c r="F902" s="157"/>
      <c r="G902" s="157"/>
      <c r="H902" s="157"/>
    </row>
    <row r="903" spans="3:8" ht="15.75" customHeight="1" x14ac:dyDescent="0.2">
      <c r="C903" s="157"/>
      <c r="D903" s="157"/>
      <c r="E903" s="157"/>
      <c r="F903" s="157"/>
      <c r="G903" s="157"/>
      <c r="H903" s="157"/>
    </row>
    <row r="904" spans="3:8" ht="15.75" customHeight="1" x14ac:dyDescent="0.2">
      <c r="C904" s="157"/>
      <c r="D904" s="157"/>
      <c r="E904" s="157"/>
      <c r="F904" s="157"/>
      <c r="G904" s="157"/>
      <c r="H904" s="157"/>
    </row>
    <row r="905" spans="3:8" ht="15.75" customHeight="1" x14ac:dyDescent="0.2">
      <c r="C905" s="157"/>
      <c r="D905" s="157"/>
      <c r="E905" s="157"/>
      <c r="F905" s="157"/>
      <c r="G905" s="157"/>
      <c r="H905" s="157"/>
    </row>
    <row r="906" spans="3:8" ht="15.75" customHeight="1" x14ac:dyDescent="0.2">
      <c r="C906" s="157"/>
      <c r="D906" s="157"/>
      <c r="E906" s="157"/>
      <c r="F906" s="157"/>
      <c r="G906" s="157"/>
      <c r="H906" s="157"/>
    </row>
    <row r="907" spans="3:8" ht="15.75" customHeight="1" x14ac:dyDescent="0.2">
      <c r="C907" s="157"/>
      <c r="D907" s="157"/>
      <c r="E907" s="157"/>
      <c r="F907" s="157"/>
      <c r="G907" s="157"/>
      <c r="H907" s="157"/>
    </row>
    <row r="908" spans="3:8" ht="15.75" customHeight="1" x14ac:dyDescent="0.2">
      <c r="C908" s="157"/>
      <c r="D908" s="157"/>
      <c r="E908" s="157"/>
      <c r="F908" s="157"/>
      <c r="G908" s="157"/>
      <c r="H908" s="157"/>
    </row>
    <row r="909" spans="3:8" ht="15.75" customHeight="1" x14ac:dyDescent="0.2">
      <c r="C909" s="157"/>
      <c r="D909" s="157"/>
      <c r="E909" s="157"/>
      <c r="F909" s="157"/>
      <c r="G909" s="157"/>
      <c r="H909" s="157"/>
    </row>
    <row r="910" spans="3:8" ht="15.75" customHeight="1" x14ac:dyDescent="0.2">
      <c r="C910" s="157"/>
      <c r="D910" s="157"/>
      <c r="E910" s="157"/>
      <c r="F910" s="157"/>
      <c r="G910" s="157"/>
      <c r="H910" s="157"/>
    </row>
    <row r="911" spans="3:8" ht="15.75" customHeight="1" x14ac:dyDescent="0.2">
      <c r="C911" s="157"/>
      <c r="D911" s="157"/>
      <c r="E911" s="157"/>
      <c r="F911" s="157"/>
      <c r="G911" s="157"/>
      <c r="H911" s="157"/>
    </row>
    <row r="912" spans="3:8" ht="15.75" customHeight="1" x14ac:dyDescent="0.2">
      <c r="C912" s="157"/>
      <c r="D912" s="157"/>
      <c r="E912" s="157"/>
      <c r="F912" s="157"/>
      <c r="G912" s="157"/>
      <c r="H912" s="157"/>
    </row>
    <row r="913" spans="3:8" ht="15.75" customHeight="1" x14ac:dyDescent="0.2">
      <c r="C913" s="157"/>
      <c r="D913" s="157"/>
      <c r="E913" s="157"/>
      <c r="F913" s="157"/>
      <c r="G913" s="157"/>
      <c r="H913" s="157"/>
    </row>
    <row r="914" spans="3:8" ht="15.75" customHeight="1" x14ac:dyDescent="0.2">
      <c r="C914" s="157"/>
      <c r="D914" s="157"/>
      <c r="E914" s="157"/>
      <c r="F914" s="157"/>
      <c r="G914" s="157"/>
      <c r="H914" s="157"/>
    </row>
    <row r="915" spans="3:8" ht="15.75" customHeight="1" x14ac:dyDescent="0.2">
      <c r="C915" s="157"/>
      <c r="D915" s="157"/>
      <c r="E915" s="157"/>
      <c r="F915" s="157"/>
      <c r="G915" s="157"/>
      <c r="H915" s="157"/>
    </row>
    <row r="916" spans="3:8" ht="15.75" customHeight="1" x14ac:dyDescent="0.2">
      <c r="C916" s="157"/>
      <c r="D916" s="157"/>
      <c r="E916" s="157"/>
      <c r="F916" s="157"/>
      <c r="G916" s="157"/>
      <c r="H916" s="157"/>
    </row>
    <row r="917" spans="3:8" ht="15.75" customHeight="1" x14ac:dyDescent="0.2">
      <c r="C917" s="157"/>
      <c r="D917" s="157"/>
      <c r="E917" s="157"/>
      <c r="F917" s="157"/>
      <c r="G917" s="157"/>
      <c r="H917" s="157"/>
    </row>
    <row r="918" spans="3:8" ht="15.75" customHeight="1" x14ac:dyDescent="0.2">
      <c r="C918" s="157"/>
      <c r="D918" s="157"/>
      <c r="E918" s="157"/>
      <c r="F918" s="157"/>
      <c r="G918" s="157"/>
      <c r="H918" s="157"/>
    </row>
    <row r="919" spans="3:8" ht="15.75" customHeight="1" x14ac:dyDescent="0.2">
      <c r="C919" s="157"/>
      <c r="D919" s="157"/>
      <c r="E919" s="157"/>
      <c r="F919" s="157"/>
      <c r="G919" s="157"/>
      <c r="H919" s="157"/>
    </row>
    <row r="920" spans="3:8" ht="15.75" customHeight="1" x14ac:dyDescent="0.2">
      <c r="C920" s="157"/>
      <c r="D920" s="157"/>
      <c r="E920" s="157"/>
      <c r="F920" s="157"/>
      <c r="G920" s="157"/>
      <c r="H920" s="157"/>
    </row>
    <row r="921" spans="3:8" ht="15.75" customHeight="1" x14ac:dyDescent="0.2">
      <c r="C921" s="157"/>
      <c r="D921" s="157"/>
      <c r="E921" s="157"/>
      <c r="F921" s="157"/>
      <c r="G921" s="157"/>
      <c r="H921" s="157"/>
    </row>
    <row r="922" spans="3:8" ht="15.75" customHeight="1" x14ac:dyDescent="0.2">
      <c r="C922" s="157"/>
      <c r="D922" s="157"/>
      <c r="E922" s="157"/>
      <c r="F922" s="157"/>
      <c r="G922" s="157"/>
      <c r="H922" s="157"/>
    </row>
    <row r="923" spans="3:8" ht="15.75" customHeight="1" x14ac:dyDescent="0.2">
      <c r="C923" s="157"/>
      <c r="D923" s="157"/>
      <c r="E923" s="157"/>
      <c r="F923" s="157"/>
      <c r="G923" s="157"/>
      <c r="H923" s="157"/>
    </row>
    <row r="924" spans="3:8" ht="15.75" customHeight="1" x14ac:dyDescent="0.2">
      <c r="C924" s="157"/>
      <c r="D924" s="157"/>
      <c r="E924" s="157"/>
      <c r="F924" s="157"/>
      <c r="G924" s="157"/>
      <c r="H924" s="157"/>
    </row>
    <row r="925" spans="3:8" ht="15.75" customHeight="1" x14ac:dyDescent="0.2">
      <c r="C925" s="157"/>
      <c r="D925" s="157"/>
      <c r="E925" s="157"/>
      <c r="F925" s="157"/>
      <c r="G925" s="157"/>
      <c r="H925" s="157"/>
    </row>
    <row r="926" spans="3:8" ht="15.75" customHeight="1" x14ac:dyDescent="0.2">
      <c r="C926" s="157"/>
      <c r="D926" s="157"/>
      <c r="E926" s="157"/>
      <c r="F926" s="157"/>
      <c r="G926" s="157"/>
      <c r="H926" s="157"/>
    </row>
    <row r="927" spans="3:8" ht="15.75" customHeight="1" x14ac:dyDescent="0.2">
      <c r="C927" s="157"/>
      <c r="D927" s="157"/>
      <c r="E927" s="157"/>
      <c r="F927" s="157"/>
      <c r="G927" s="157"/>
      <c r="H927" s="157"/>
    </row>
    <row r="928" spans="3:8" ht="15.75" customHeight="1" x14ac:dyDescent="0.2">
      <c r="C928" s="157"/>
      <c r="D928" s="157"/>
      <c r="E928" s="157"/>
      <c r="F928" s="157"/>
      <c r="G928" s="157"/>
      <c r="H928" s="157"/>
    </row>
    <row r="929" spans="3:8" ht="15.75" customHeight="1" x14ac:dyDescent="0.2">
      <c r="C929" s="157"/>
      <c r="D929" s="157"/>
      <c r="E929" s="157"/>
      <c r="F929" s="157"/>
      <c r="G929" s="157"/>
      <c r="H929" s="157"/>
    </row>
    <row r="930" spans="3:8" ht="15.75" customHeight="1" x14ac:dyDescent="0.2">
      <c r="C930" s="157"/>
      <c r="D930" s="157"/>
      <c r="E930" s="157"/>
      <c r="F930" s="157"/>
      <c r="G930" s="157"/>
      <c r="H930" s="157"/>
    </row>
    <row r="931" spans="3:8" ht="15.75" customHeight="1" x14ac:dyDescent="0.2">
      <c r="C931" s="157"/>
      <c r="D931" s="157"/>
      <c r="E931" s="157"/>
      <c r="F931" s="157"/>
      <c r="G931" s="157"/>
      <c r="H931" s="157"/>
    </row>
    <row r="932" spans="3:8" ht="15.75" customHeight="1" x14ac:dyDescent="0.2">
      <c r="C932" s="157"/>
      <c r="D932" s="157"/>
      <c r="E932" s="157"/>
      <c r="F932" s="157"/>
      <c r="G932" s="157"/>
      <c r="H932" s="157"/>
    </row>
    <row r="933" spans="3:8" ht="15.75" customHeight="1" x14ac:dyDescent="0.2">
      <c r="C933" s="157"/>
      <c r="D933" s="157"/>
      <c r="E933" s="157"/>
      <c r="F933" s="157"/>
      <c r="G933" s="157"/>
      <c r="H933" s="157"/>
    </row>
    <row r="934" spans="3:8" ht="15.75" customHeight="1" x14ac:dyDescent="0.2">
      <c r="C934" s="157"/>
      <c r="D934" s="157"/>
      <c r="E934" s="157"/>
      <c r="F934" s="157"/>
      <c r="G934" s="157"/>
      <c r="H934" s="157"/>
    </row>
    <row r="935" spans="3:8" ht="15.75" customHeight="1" x14ac:dyDescent="0.2">
      <c r="C935" s="157"/>
      <c r="D935" s="157"/>
      <c r="E935" s="157"/>
      <c r="F935" s="157"/>
      <c r="G935" s="157"/>
      <c r="H935" s="157"/>
    </row>
    <row r="936" spans="3:8" ht="15.75" customHeight="1" x14ac:dyDescent="0.2">
      <c r="C936" s="157"/>
      <c r="D936" s="157"/>
      <c r="E936" s="157"/>
      <c r="F936" s="157"/>
      <c r="G936" s="157"/>
      <c r="H936" s="157"/>
    </row>
    <row r="937" spans="3:8" ht="15.75" customHeight="1" x14ac:dyDescent="0.2">
      <c r="C937" s="157"/>
      <c r="D937" s="157"/>
      <c r="E937" s="157"/>
      <c r="F937" s="157"/>
      <c r="G937" s="157"/>
      <c r="H937" s="157"/>
    </row>
    <row r="938" spans="3:8" ht="15.75" customHeight="1" x14ac:dyDescent="0.2">
      <c r="C938" s="157"/>
      <c r="D938" s="157"/>
      <c r="E938" s="157"/>
      <c r="F938" s="157"/>
      <c r="G938" s="157"/>
      <c r="H938" s="157"/>
    </row>
    <row r="939" spans="3:8" ht="15.75" customHeight="1" x14ac:dyDescent="0.2">
      <c r="C939" s="157"/>
      <c r="D939" s="157"/>
      <c r="E939" s="157"/>
      <c r="F939" s="157"/>
      <c r="G939" s="157"/>
      <c r="H939" s="157"/>
    </row>
    <row r="940" spans="3:8" ht="15.75" customHeight="1" x14ac:dyDescent="0.2">
      <c r="C940" s="157"/>
      <c r="D940" s="157"/>
      <c r="E940" s="157"/>
      <c r="F940" s="157"/>
      <c r="G940" s="157"/>
      <c r="H940" s="157"/>
    </row>
    <row r="941" spans="3:8" ht="15.75" customHeight="1" x14ac:dyDescent="0.2">
      <c r="C941" s="157"/>
      <c r="D941" s="157"/>
      <c r="E941" s="157"/>
      <c r="F941" s="157"/>
      <c r="G941" s="157"/>
      <c r="H941" s="157"/>
    </row>
    <row r="942" spans="3:8" ht="15.75" customHeight="1" x14ac:dyDescent="0.2">
      <c r="C942" s="157"/>
      <c r="D942" s="157"/>
      <c r="E942" s="157"/>
      <c r="F942" s="157"/>
      <c r="G942" s="157"/>
      <c r="H942" s="157"/>
    </row>
    <row r="943" spans="3:8" ht="15.75" customHeight="1" x14ac:dyDescent="0.2">
      <c r="C943" s="157"/>
      <c r="D943" s="157"/>
      <c r="E943" s="157"/>
      <c r="F943" s="157"/>
      <c r="G943" s="157"/>
      <c r="H943" s="157"/>
    </row>
    <row r="944" spans="3:8" ht="15.75" customHeight="1" x14ac:dyDescent="0.2">
      <c r="C944" s="157"/>
      <c r="D944" s="157"/>
      <c r="E944" s="157"/>
      <c r="F944" s="157"/>
      <c r="G944" s="157"/>
      <c r="H944" s="157"/>
    </row>
    <row r="945" spans="3:8" ht="15.75" customHeight="1" x14ac:dyDescent="0.2">
      <c r="C945" s="157"/>
      <c r="D945" s="157"/>
      <c r="E945" s="157"/>
      <c r="F945" s="157"/>
      <c r="G945" s="157"/>
      <c r="H945" s="157"/>
    </row>
    <row r="946" spans="3:8" ht="15.75" customHeight="1" x14ac:dyDescent="0.2">
      <c r="C946" s="157"/>
      <c r="D946" s="157"/>
      <c r="E946" s="157"/>
      <c r="F946" s="157"/>
      <c r="G946" s="157"/>
      <c r="H946" s="157"/>
    </row>
    <row r="947" spans="3:8" ht="15.75" customHeight="1" x14ac:dyDescent="0.2">
      <c r="C947" s="157"/>
      <c r="D947" s="157"/>
      <c r="E947" s="157"/>
      <c r="F947" s="157"/>
      <c r="G947" s="157"/>
      <c r="H947" s="157"/>
    </row>
    <row r="948" spans="3:8" ht="15.75" customHeight="1" x14ac:dyDescent="0.2">
      <c r="C948" s="157"/>
      <c r="D948" s="157"/>
      <c r="E948" s="157"/>
      <c r="F948" s="157"/>
      <c r="G948" s="157"/>
      <c r="H948" s="157"/>
    </row>
    <row r="949" spans="3:8" ht="15.75" customHeight="1" x14ac:dyDescent="0.2">
      <c r="C949" s="157"/>
      <c r="D949" s="157"/>
      <c r="E949" s="157"/>
      <c r="F949" s="157"/>
      <c r="G949" s="157"/>
      <c r="H949" s="157"/>
    </row>
    <row r="950" spans="3:8" ht="15.75" customHeight="1" x14ac:dyDescent="0.2">
      <c r="C950" s="157"/>
      <c r="D950" s="157"/>
      <c r="E950" s="157"/>
      <c r="F950" s="157"/>
      <c r="G950" s="157"/>
      <c r="H950" s="157"/>
    </row>
    <row r="951" spans="3:8" ht="15.75" customHeight="1" x14ac:dyDescent="0.2">
      <c r="C951" s="157"/>
      <c r="D951" s="157"/>
      <c r="E951" s="157"/>
      <c r="F951" s="157"/>
      <c r="G951" s="157"/>
      <c r="H951" s="157"/>
    </row>
    <row r="952" spans="3:8" ht="15.75" customHeight="1" x14ac:dyDescent="0.2">
      <c r="C952" s="157"/>
      <c r="D952" s="157"/>
      <c r="E952" s="157"/>
      <c r="F952" s="157"/>
      <c r="G952" s="157"/>
      <c r="H952" s="157"/>
    </row>
    <row r="953" spans="3:8" ht="15.75" customHeight="1" x14ac:dyDescent="0.2">
      <c r="C953" s="157"/>
      <c r="D953" s="157"/>
      <c r="E953" s="157"/>
      <c r="F953" s="157"/>
      <c r="G953" s="157"/>
      <c r="H953" s="157"/>
    </row>
    <row r="954" spans="3:8" ht="15.75" customHeight="1" x14ac:dyDescent="0.2">
      <c r="C954" s="157"/>
      <c r="D954" s="157"/>
      <c r="E954" s="157"/>
      <c r="F954" s="157"/>
      <c r="G954" s="157"/>
      <c r="H954" s="157"/>
    </row>
    <row r="955" spans="3:8" ht="15.75" customHeight="1" x14ac:dyDescent="0.2">
      <c r="C955" s="157"/>
      <c r="D955" s="157"/>
      <c r="E955" s="157"/>
      <c r="F955" s="157"/>
      <c r="G955" s="157"/>
      <c r="H955" s="157"/>
    </row>
    <row r="956" spans="3:8" ht="15.75" customHeight="1" x14ac:dyDescent="0.2">
      <c r="C956" s="157"/>
      <c r="D956" s="157"/>
      <c r="E956" s="157"/>
      <c r="F956" s="157"/>
      <c r="G956" s="157"/>
      <c r="H956" s="157"/>
    </row>
    <row r="957" spans="3:8" ht="15.75" customHeight="1" x14ac:dyDescent="0.2">
      <c r="C957" s="157"/>
      <c r="D957" s="157"/>
      <c r="E957" s="157"/>
      <c r="F957" s="157"/>
      <c r="G957" s="157"/>
      <c r="H957" s="157"/>
    </row>
    <row r="958" spans="3:8" ht="15.75" customHeight="1" x14ac:dyDescent="0.2">
      <c r="C958" s="157"/>
      <c r="D958" s="157"/>
      <c r="E958" s="157"/>
      <c r="F958" s="157"/>
      <c r="G958" s="157"/>
      <c r="H958" s="157"/>
    </row>
    <row r="959" spans="3:8" ht="15.75" customHeight="1" x14ac:dyDescent="0.2">
      <c r="C959" s="157"/>
      <c r="D959" s="157"/>
      <c r="E959" s="157"/>
      <c r="F959" s="157"/>
      <c r="G959" s="157"/>
      <c r="H959" s="157"/>
    </row>
    <row r="960" spans="3:8" ht="15.75" customHeight="1" x14ac:dyDescent="0.2">
      <c r="C960" s="157"/>
      <c r="D960" s="157"/>
      <c r="E960" s="157"/>
      <c r="F960" s="157"/>
      <c r="G960" s="157"/>
      <c r="H960" s="157"/>
    </row>
    <row r="961" spans="3:8" ht="15.75" customHeight="1" x14ac:dyDescent="0.2">
      <c r="C961" s="157"/>
      <c r="D961" s="157"/>
      <c r="E961" s="157"/>
      <c r="F961" s="157"/>
      <c r="G961" s="157"/>
      <c r="H961" s="157"/>
    </row>
    <row r="962" spans="3:8" ht="15.75" customHeight="1" x14ac:dyDescent="0.2">
      <c r="C962" s="157"/>
      <c r="D962" s="157"/>
      <c r="E962" s="157"/>
      <c r="F962" s="157"/>
      <c r="G962" s="157"/>
      <c r="H962" s="157"/>
    </row>
    <row r="963" spans="3:8" ht="15.75" customHeight="1" x14ac:dyDescent="0.2">
      <c r="C963" s="157"/>
      <c r="D963" s="157"/>
      <c r="E963" s="157"/>
      <c r="F963" s="157"/>
      <c r="G963" s="157"/>
      <c r="H963" s="157"/>
    </row>
    <row r="964" spans="3:8" ht="15.75" customHeight="1" x14ac:dyDescent="0.2">
      <c r="C964" s="157"/>
      <c r="D964" s="157"/>
      <c r="E964" s="157"/>
      <c r="F964" s="157"/>
      <c r="G964" s="157"/>
      <c r="H964" s="157"/>
    </row>
    <row r="965" spans="3:8" ht="15.75" customHeight="1" x14ac:dyDescent="0.2">
      <c r="C965" s="157"/>
      <c r="D965" s="157"/>
      <c r="E965" s="157"/>
      <c r="F965" s="157"/>
      <c r="G965" s="157"/>
      <c r="H965" s="157"/>
    </row>
    <row r="966" spans="3:8" ht="15.75" customHeight="1" x14ac:dyDescent="0.2">
      <c r="C966" s="157"/>
      <c r="D966" s="157"/>
      <c r="E966" s="157"/>
      <c r="F966" s="157"/>
      <c r="G966" s="157"/>
      <c r="H966" s="157"/>
    </row>
    <row r="967" spans="3:8" ht="15.75" customHeight="1" x14ac:dyDescent="0.2">
      <c r="C967" s="157"/>
      <c r="D967" s="157"/>
      <c r="E967" s="157"/>
      <c r="F967" s="157"/>
      <c r="G967" s="157"/>
      <c r="H967" s="157"/>
    </row>
    <row r="968" spans="3:8" ht="15.75" customHeight="1" x14ac:dyDescent="0.2">
      <c r="C968" s="157"/>
      <c r="D968" s="157"/>
      <c r="E968" s="157"/>
      <c r="F968" s="157"/>
      <c r="G968" s="157"/>
      <c r="H968" s="157"/>
    </row>
    <row r="969" spans="3:8" ht="15.75" customHeight="1" x14ac:dyDescent="0.2">
      <c r="C969" s="157"/>
      <c r="D969" s="157"/>
      <c r="E969" s="157"/>
      <c r="F969" s="157"/>
      <c r="G969" s="157"/>
      <c r="H969" s="157"/>
    </row>
    <row r="970" spans="3:8" ht="15.75" customHeight="1" x14ac:dyDescent="0.2">
      <c r="C970" s="157"/>
      <c r="D970" s="157"/>
      <c r="E970" s="157"/>
      <c r="F970" s="157"/>
      <c r="G970" s="157"/>
      <c r="H970" s="157"/>
    </row>
    <row r="971" spans="3:8" ht="15.75" customHeight="1" x14ac:dyDescent="0.2">
      <c r="C971" s="157"/>
      <c r="D971" s="157"/>
      <c r="E971" s="157"/>
      <c r="F971" s="157"/>
      <c r="G971" s="157"/>
      <c r="H971" s="157"/>
    </row>
    <row r="972" spans="3:8" ht="15.75" customHeight="1" x14ac:dyDescent="0.2">
      <c r="C972" s="157"/>
      <c r="D972" s="157"/>
      <c r="E972" s="157"/>
      <c r="F972" s="157"/>
      <c r="G972" s="157"/>
      <c r="H972" s="157"/>
    </row>
    <row r="973" spans="3:8" ht="15.75" customHeight="1" x14ac:dyDescent="0.2">
      <c r="C973" s="157"/>
      <c r="D973" s="157"/>
      <c r="E973" s="157"/>
      <c r="F973" s="157"/>
      <c r="G973" s="157"/>
      <c r="H973" s="157"/>
    </row>
    <row r="974" spans="3:8" ht="15.75" customHeight="1" x14ac:dyDescent="0.2">
      <c r="C974" s="157"/>
      <c r="D974" s="157"/>
      <c r="E974" s="157"/>
      <c r="F974" s="157"/>
      <c r="G974" s="157"/>
      <c r="H974" s="157"/>
    </row>
    <row r="975" spans="3:8" ht="15.75" customHeight="1" x14ac:dyDescent="0.2">
      <c r="C975" s="157"/>
      <c r="D975" s="157"/>
      <c r="E975" s="157"/>
      <c r="F975" s="157"/>
      <c r="G975" s="157"/>
      <c r="H975" s="157"/>
    </row>
    <row r="976" spans="3:8" ht="15.75" customHeight="1" x14ac:dyDescent="0.2">
      <c r="C976" s="157"/>
      <c r="D976" s="157"/>
      <c r="E976" s="157"/>
      <c r="F976" s="157"/>
      <c r="G976" s="157"/>
      <c r="H976" s="157"/>
    </row>
    <row r="977" spans="3:8" ht="15.75" customHeight="1" x14ac:dyDescent="0.2">
      <c r="C977" s="157"/>
      <c r="D977" s="157"/>
      <c r="E977" s="157"/>
      <c r="F977" s="157"/>
      <c r="G977" s="157"/>
      <c r="H977" s="157"/>
    </row>
    <row r="978" spans="3:8" ht="15.75" customHeight="1" x14ac:dyDescent="0.2">
      <c r="C978" s="157"/>
      <c r="D978" s="157"/>
      <c r="E978" s="157"/>
      <c r="F978" s="157"/>
      <c r="G978" s="157"/>
      <c r="H978" s="157"/>
    </row>
    <row r="979" spans="3:8" ht="15.75" customHeight="1" x14ac:dyDescent="0.2">
      <c r="C979" s="157"/>
      <c r="D979" s="157"/>
      <c r="E979" s="157"/>
      <c r="F979" s="157"/>
      <c r="G979" s="157"/>
      <c r="H979" s="157"/>
    </row>
    <row r="980" spans="3:8" ht="15.75" customHeight="1" x14ac:dyDescent="0.2">
      <c r="C980" s="157"/>
      <c r="D980" s="157"/>
      <c r="E980" s="157"/>
      <c r="F980" s="157"/>
      <c r="G980" s="157"/>
      <c r="H980" s="157"/>
    </row>
    <row r="981" spans="3:8" ht="15.75" customHeight="1" x14ac:dyDescent="0.2">
      <c r="C981" s="157"/>
      <c r="D981" s="157"/>
      <c r="E981" s="157"/>
      <c r="F981" s="157"/>
      <c r="G981" s="157"/>
      <c r="H981" s="157"/>
    </row>
    <row r="982" spans="3:8" ht="15.75" customHeight="1" x14ac:dyDescent="0.2">
      <c r="C982" s="157"/>
      <c r="D982" s="157"/>
      <c r="E982" s="157"/>
      <c r="F982" s="157"/>
      <c r="G982" s="157"/>
      <c r="H982" s="157"/>
    </row>
    <row r="983" spans="3:8" ht="15.75" customHeight="1" x14ac:dyDescent="0.2">
      <c r="C983" s="157"/>
      <c r="D983" s="157"/>
      <c r="E983" s="157"/>
      <c r="F983" s="157"/>
      <c r="G983" s="157"/>
      <c r="H983" s="157"/>
    </row>
    <row r="984" spans="3:8" ht="15.75" customHeight="1" x14ac:dyDescent="0.2">
      <c r="C984" s="157"/>
      <c r="D984" s="157"/>
      <c r="E984" s="157"/>
      <c r="F984" s="157"/>
      <c r="G984" s="157"/>
      <c r="H984" s="157"/>
    </row>
    <row r="985" spans="3:8" ht="15.75" customHeight="1" x14ac:dyDescent="0.2">
      <c r="C985" s="157"/>
      <c r="D985" s="157"/>
      <c r="E985" s="157"/>
      <c r="F985" s="157"/>
      <c r="G985" s="157"/>
      <c r="H985" s="157"/>
    </row>
    <row r="986" spans="3:8" ht="15.75" customHeight="1" x14ac:dyDescent="0.2">
      <c r="C986" s="157"/>
      <c r="D986" s="157"/>
      <c r="E986" s="157"/>
      <c r="F986" s="157"/>
      <c r="G986" s="157"/>
      <c r="H986" s="157"/>
    </row>
    <row r="987" spans="3:8" ht="15.75" customHeight="1" x14ac:dyDescent="0.2">
      <c r="C987" s="157"/>
      <c r="D987" s="157"/>
      <c r="E987" s="157"/>
      <c r="F987" s="157"/>
      <c r="G987" s="157"/>
      <c r="H987" s="157"/>
    </row>
    <row r="988" spans="3:8" ht="15.75" customHeight="1" x14ac:dyDescent="0.2">
      <c r="C988" s="157"/>
      <c r="D988" s="157"/>
      <c r="E988" s="157"/>
      <c r="F988" s="157"/>
      <c r="G988" s="157"/>
      <c r="H988" s="157"/>
    </row>
    <row r="989" spans="3:8" ht="15.75" customHeight="1" x14ac:dyDescent="0.2">
      <c r="C989" s="157"/>
      <c r="D989" s="157"/>
      <c r="E989" s="157"/>
      <c r="F989" s="157"/>
      <c r="G989" s="157"/>
      <c r="H989" s="157"/>
    </row>
    <row r="990" spans="3:8" ht="15.75" customHeight="1" x14ac:dyDescent="0.2">
      <c r="C990" s="157"/>
      <c r="D990" s="157"/>
      <c r="E990" s="157"/>
      <c r="F990" s="157"/>
      <c r="G990" s="157"/>
      <c r="H990" s="157"/>
    </row>
    <row r="991" spans="3:8" ht="15.75" customHeight="1" x14ac:dyDescent="0.2">
      <c r="C991" s="157"/>
      <c r="D991" s="157"/>
      <c r="E991" s="157"/>
      <c r="F991" s="157"/>
      <c r="G991" s="157"/>
      <c r="H991" s="157"/>
    </row>
    <row r="992" spans="3:8" ht="15.75" customHeight="1" x14ac:dyDescent="0.2">
      <c r="C992" s="157"/>
      <c r="D992" s="157"/>
      <c r="E992" s="157"/>
      <c r="F992" s="157"/>
      <c r="G992" s="157"/>
      <c r="H992" s="157"/>
    </row>
    <row r="993" spans="3:8" ht="15.75" customHeight="1" x14ac:dyDescent="0.2">
      <c r="C993" s="157"/>
      <c r="D993" s="157"/>
      <c r="E993" s="157"/>
      <c r="F993" s="157"/>
      <c r="G993" s="157"/>
      <c r="H993" s="157"/>
    </row>
    <row r="994" spans="3:8" ht="15.75" customHeight="1" x14ac:dyDescent="0.2">
      <c r="C994" s="157"/>
      <c r="D994" s="157"/>
      <c r="E994" s="157"/>
      <c r="F994" s="157"/>
      <c r="G994" s="157"/>
      <c r="H994" s="157"/>
    </row>
    <row r="995" spans="3:8" ht="15.75" customHeight="1" x14ac:dyDescent="0.2">
      <c r="C995" s="157"/>
      <c r="D995" s="157"/>
      <c r="E995" s="157"/>
      <c r="F995" s="157"/>
      <c r="G995" s="157"/>
      <c r="H995" s="157"/>
    </row>
    <row r="996" spans="3:8" ht="15.75" customHeight="1" x14ac:dyDescent="0.2">
      <c r="C996" s="157"/>
      <c r="D996" s="157"/>
      <c r="E996" s="157"/>
      <c r="F996" s="157"/>
      <c r="G996" s="157"/>
      <c r="H996" s="157"/>
    </row>
    <row r="997" spans="3:8" ht="15.75" customHeight="1" x14ac:dyDescent="0.2">
      <c r="C997" s="157"/>
      <c r="D997" s="157"/>
      <c r="E997" s="157"/>
      <c r="F997" s="157"/>
      <c r="G997" s="157"/>
      <c r="H997" s="157"/>
    </row>
    <row r="998" spans="3:8" ht="15.75" customHeight="1" x14ac:dyDescent="0.2">
      <c r="C998" s="157"/>
      <c r="D998" s="157"/>
      <c r="E998" s="157"/>
      <c r="F998" s="157"/>
      <c r="G998" s="157"/>
      <c r="H998" s="157"/>
    </row>
    <row r="999" spans="3:8" ht="15.75" customHeight="1" x14ac:dyDescent="0.2">
      <c r="C999" s="157"/>
      <c r="D999" s="157"/>
      <c r="E999" s="157"/>
      <c r="F999" s="157"/>
      <c r="G999" s="157"/>
      <c r="H999" s="157"/>
    </row>
    <row r="1000" spans="3:8" ht="15.75" customHeight="1" x14ac:dyDescent="0.2">
      <c r="C1000" s="157"/>
      <c r="D1000" s="157"/>
      <c r="E1000" s="157"/>
      <c r="F1000" s="157"/>
      <c r="G1000" s="157"/>
      <c r="H1000" s="15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DAA3A-97DA-E64D-AF25-A90A59AA2475}">
  <dimension ref="A1:J18"/>
  <sheetViews>
    <sheetView zoomScale="150" workbookViewId="0">
      <selection activeCell="G19" sqref="G19"/>
    </sheetView>
  </sheetViews>
  <sheetFormatPr baseColWidth="10" defaultRowHeight="16" x14ac:dyDescent="0.2"/>
  <cols>
    <col min="1" max="1" width="33" customWidth="1"/>
    <col min="4" max="4" width="16.5" bestFit="1" customWidth="1"/>
    <col min="7" max="7" width="17.1640625" bestFit="1" customWidth="1"/>
  </cols>
  <sheetData>
    <row r="1" spans="1:10" x14ac:dyDescent="0.2">
      <c r="A1" s="181" t="s">
        <v>1519</v>
      </c>
      <c r="B1" s="182" t="s">
        <v>1514</v>
      </c>
      <c r="C1" s="182" t="s">
        <v>13</v>
      </c>
      <c r="D1" s="182" t="s">
        <v>1515</v>
      </c>
      <c r="E1" s="182" t="s">
        <v>1516</v>
      </c>
      <c r="G1" s="181" t="s">
        <v>1520</v>
      </c>
      <c r="H1" s="182" t="s">
        <v>1521</v>
      </c>
      <c r="I1" s="182" t="s">
        <v>1522</v>
      </c>
      <c r="J1" s="182" t="s">
        <v>1523</v>
      </c>
    </row>
    <row r="2" spans="1:10" x14ac:dyDescent="0.2">
      <c r="A2" t="s">
        <v>1517</v>
      </c>
      <c r="B2" s="6">
        <v>1478.5540000000001</v>
      </c>
      <c r="C2" s="19">
        <f>'Comprehensive Income '!G13</f>
        <v>110.20800000000013</v>
      </c>
      <c r="D2" s="19">
        <v>848.21400000000006</v>
      </c>
      <c r="E2" s="19">
        <f>'Cost of Capital '!B1</f>
        <v>4638</v>
      </c>
      <c r="G2" t="s">
        <v>1518</v>
      </c>
      <c r="H2" s="44">
        <f>$E$3/B3</f>
        <v>1.4393231012350385</v>
      </c>
      <c r="I2" s="44">
        <f t="shared" ref="I2:J2" si="0">$E$3/C3</f>
        <v>17.680339462517679</v>
      </c>
      <c r="J2" s="44">
        <f t="shared" si="0"/>
        <v>2.4444849048842494</v>
      </c>
    </row>
    <row r="3" spans="1:10" x14ac:dyDescent="0.2">
      <c r="A3" t="s">
        <v>1518</v>
      </c>
      <c r="B3" s="19">
        <v>5037.09</v>
      </c>
      <c r="C3" s="19">
        <v>410.06</v>
      </c>
      <c r="D3" s="19">
        <v>2965.86</v>
      </c>
      <c r="E3" s="19">
        <v>7250</v>
      </c>
      <c r="G3" t="s">
        <v>141</v>
      </c>
      <c r="H3" s="44">
        <f>$E$4/B4</f>
        <v>0.65724475170967778</v>
      </c>
      <c r="I3" s="44">
        <f t="shared" ref="I3:J3" si="1">$E$4/C4</f>
        <v>16.289225941422593</v>
      </c>
      <c r="J3" s="44">
        <f t="shared" si="1"/>
        <v>2.7921466672643325</v>
      </c>
    </row>
    <row r="4" spans="1:10" x14ac:dyDescent="0.2">
      <c r="A4" t="s">
        <v>141</v>
      </c>
      <c r="B4" s="19">
        <v>947.74435000000005</v>
      </c>
      <c r="C4" s="19">
        <v>38.24</v>
      </c>
      <c r="D4" s="19">
        <v>223.09</v>
      </c>
      <c r="E4" s="19">
        <v>622.9</v>
      </c>
      <c r="H4" s="44"/>
      <c r="I4" s="183"/>
      <c r="J4" s="44"/>
    </row>
    <row r="5" spans="1:10" x14ac:dyDescent="0.2">
      <c r="G5" s="184" t="s">
        <v>70</v>
      </c>
      <c r="H5" s="185">
        <f>AVERAGE(H2:H3)</f>
        <v>1.048283926472358</v>
      </c>
      <c r="I5" s="185">
        <f t="shared" ref="I5:J5" si="2">AVERAGE(I2:I3)</f>
        <v>16.984782701970136</v>
      </c>
      <c r="J5" s="185">
        <f t="shared" si="2"/>
        <v>2.6183157860742909</v>
      </c>
    </row>
    <row r="7" spans="1:10" x14ac:dyDescent="0.2">
      <c r="A7" s="181" t="s">
        <v>1524</v>
      </c>
      <c r="B7" s="182" t="s">
        <v>1521</v>
      </c>
      <c r="C7" s="182" t="s">
        <v>1522</v>
      </c>
      <c r="D7" s="182" t="s">
        <v>1523</v>
      </c>
      <c r="E7" s="182" t="s">
        <v>70</v>
      </c>
    </row>
    <row r="8" spans="1:10" x14ac:dyDescent="0.2">
      <c r="A8" s="4" t="s">
        <v>1525</v>
      </c>
      <c r="B8" s="186">
        <f>H5*B2</f>
        <v>1549.944392621411</v>
      </c>
      <c r="C8" s="186">
        <f>I5*C2</f>
        <v>1871.8589320187268</v>
      </c>
      <c r="D8" s="186">
        <f>J5*D2</f>
        <v>2220.8921061692186</v>
      </c>
      <c r="E8" s="187">
        <f>AVERAGE(B8:D8)</f>
        <v>1880.8984769364522</v>
      </c>
      <c r="F8" s="187">
        <f>AVERAGE(B8,D8)</f>
        <v>1885.4182493953149</v>
      </c>
      <c r="G8" s="4" t="s">
        <v>1526</v>
      </c>
    </row>
    <row r="9" spans="1:10" x14ac:dyDescent="0.2">
      <c r="A9" s="4" t="s">
        <v>1528</v>
      </c>
      <c r="B9" s="186">
        <f>'FCF Valuation '!B4</f>
        <v>143.430691</v>
      </c>
      <c r="C9" s="186"/>
      <c r="D9" s="186"/>
      <c r="E9" s="187"/>
      <c r="F9" s="4"/>
      <c r="G9" s="4"/>
    </row>
    <row r="10" spans="1:10" x14ac:dyDescent="0.2">
      <c r="A10" s="8" t="s">
        <v>1500</v>
      </c>
      <c r="B10" s="188">
        <f>B8/$B$9</f>
        <v>10.806225514324623</v>
      </c>
      <c r="C10" s="188">
        <f>C8/$B$9</f>
        <v>13.050616426429452</v>
      </c>
      <c r="D10" s="188">
        <f>D8/$B$9</f>
        <v>15.484078691144411</v>
      </c>
      <c r="E10" s="188">
        <f>E8/$B$9</f>
        <v>13.113640210632829</v>
      </c>
      <c r="F10" s="191">
        <f>F8/B9</f>
        <v>13.145152102734519</v>
      </c>
      <c r="G10" s="4"/>
    </row>
    <row r="11" spans="1:10" x14ac:dyDescent="0.2">
      <c r="A11" s="4"/>
      <c r="B11" s="189"/>
      <c r="C11" s="189"/>
      <c r="D11" s="189"/>
      <c r="E11" s="4"/>
      <c r="F11" s="4"/>
      <c r="G11" s="4"/>
    </row>
    <row r="12" spans="1:10" x14ac:dyDescent="0.2">
      <c r="A12" s="4" t="s">
        <v>1529</v>
      </c>
      <c r="B12" s="186">
        <f>AVERAGE('Balance Sheet '!C29:H29)</f>
        <v>577.3655</v>
      </c>
      <c r="C12" s="189"/>
      <c r="D12" s="189"/>
      <c r="E12" s="4"/>
      <c r="F12" s="4"/>
      <c r="G12" s="4"/>
    </row>
    <row r="13" spans="1:10" x14ac:dyDescent="0.2">
      <c r="A13" s="4" t="s">
        <v>1530</v>
      </c>
      <c r="B13" s="186">
        <f>H2*B2</f>
        <v>2128.1169286234713</v>
      </c>
      <c r="C13" s="186">
        <f>I3*C2</f>
        <v>1795.2030125523031</v>
      </c>
      <c r="D13" s="186">
        <f>J3*D2</f>
        <v>2368.3378932269488</v>
      </c>
      <c r="E13" s="4"/>
      <c r="F13" s="4"/>
      <c r="G13" s="4"/>
    </row>
    <row r="14" spans="1:10" x14ac:dyDescent="0.2">
      <c r="A14" s="8" t="s">
        <v>1500</v>
      </c>
      <c r="B14" s="188">
        <f>B13/$B$9</f>
        <v>14.837249362644926</v>
      </c>
      <c r="C14" s="188">
        <f>C13/$B$9</f>
        <v>12.516170702630884</v>
      </c>
      <c r="D14" s="188">
        <f>D13/$B$9</f>
        <v>16.512071975076442</v>
      </c>
      <c r="E14" s="188"/>
      <c r="F14" s="190">
        <f>AVERAGE(B14,D14)</f>
        <v>15.674660668860684</v>
      </c>
      <c r="G14" s="4"/>
    </row>
    <row r="15" spans="1:10" x14ac:dyDescent="0.2">
      <c r="A15" s="4" t="s">
        <v>1527</v>
      </c>
      <c r="B15" s="189"/>
      <c r="C15" s="189"/>
      <c r="D15" s="188">
        <f>J5*B12</f>
        <v>1511.7252029846761</v>
      </c>
      <c r="E15" s="188">
        <f>D15/$B$9</f>
        <v>10.539760998464939</v>
      </c>
      <c r="F15" s="4"/>
      <c r="G15" s="4"/>
    </row>
    <row r="16" spans="1:10" x14ac:dyDescent="0.2">
      <c r="A16" s="4" t="s">
        <v>1530</v>
      </c>
      <c r="B16" s="189"/>
      <c r="C16" s="189"/>
      <c r="D16" s="188">
        <f>J2*B12</f>
        <v>1411.361249350947</v>
      </c>
      <c r="E16" s="188">
        <f>D16/$B$9</f>
        <v>9.84002265840682</v>
      </c>
      <c r="F16" s="4"/>
      <c r="G16" s="4"/>
    </row>
    <row r="17" spans="1:7" x14ac:dyDescent="0.2">
      <c r="A17" s="4"/>
      <c r="B17" s="189"/>
      <c r="C17" s="189"/>
      <c r="D17" s="189"/>
      <c r="E17" s="4"/>
      <c r="F17" s="4"/>
      <c r="G17" s="4"/>
    </row>
    <row r="18" spans="1:7" x14ac:dyDescent="0.2">
      <c r="A18" s="4"/>
      <c r="B18" s="189"/>
      <c r="C18" s="189"/>
      <c r="D18" s="189"/>
      <c r="E18" s="4"/>
      <c r="F18" s="4"/>
      <c r="G1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DEDF-FCF9-0347-8959-B0533F15C6D5}">
  <dimension ref="A1:K37"/>
  <sheetViews>
    <sheetView topLeftCell="A27" zoomScale="206" workbookViewId="0">
      <pane xSplit="1" topLeftCell="B1" activePane="topRight" state="frozen"/>
      <selection pane="topRight" activeCell="F40" sqref="F40"/>
    </sheetView>
  </sheetViews>
  <sheetFormatPr baseColWidth="10" defaultRowHeight="16" x14ac:dyDescent="0.2"/>
  <cols>
    <col min="1" max="1" width="27.33203125" bestFit="1" customWidth="1"/>
    <col min="9" max="9" width="26.1640625" customWidth="1"/>
  </cols>
  <sheetData>
    <row r="1" spans="1:11" x14ac:dyDescent="0.2">
      <c r="A1" s="22" t="s">
        <v>0</v>
      </c>
      <c r="B1" s="22">
        <v>2018</v>
      </c>
      <c r="C1" s="22">
        <v>2019</v>
      </c>
      <c r="D1" s="22">
        <v>2020</v>
      </c>
      <c r="E1" s="22">
        <v>2021</v>
      </c>
      <c r="F1" s="22">
        <v>2022</v>
      </c>
      <c r="G1" s="22">
        <v>2023</v>
      </c>
      <c r="H1" s="22">
        <v>2024</v>
      </c>
      <c r="I1" s="23" t="s">
        <v>1</v>
      </c>
    </row>
    <row r="2" spans="1:11" x14ac:dyDescent="0.2">
      <c r="A2" s="22" t="s">
        <v>17</v>
      </c>
      <c r="B2" s="24"/>
      <c r="C2" s="24"/>
      <c r="D2" s="24"/>
      <c r="E2" s="24"/>
      <c r="F2" s="24"/>
      <c r="G2" s="24"/>
      <c r="H2" s="24"/>
      <c r="I2" s="24"/>
    </row>
    <row r="3" spans="1:11" x14ac:dyDescent="0.2">
      <c r="A3" s="25" t="s">
        <v>18</v>
      </c>
      <c r="B3" s="26">
        <v>103.316</v>
      </c>
      <c r="C3" s="27">
        <v>57.128999999999998</v>
      </c>
      <c r="D3" s="45">
        <v>128.45699999999999</v>
      </c>
      <c r="E3" s="27">
        <v>129.90700000000001</v>
      </c>
      <c r="F3" s="27">
        <v>168.256</v>
      </c>
      <c r="G3" s="27">
        <v>84.155000000000001</v>
      </c>
      <c r="H3" s="27">
        <v>137.77199999999999</v>
      </c>
      <c r="I3" s="28"/>
    </row>
    <row r="4" spans="1:11" x14ac:dyDescent="0.2">
      <c r="A4" s="25" t="s">
        <v>19</v>
      </c>
      <c r="B4" s="26">
        <v>104.42</v>
      </c>
      <c r="C4" s="27">
        <v>154.595</v>
      </c>
      <c r="D4" s="45">
        <v>156.10599999999999</v>
      </c>
      <c r="E4" s="27">
        <v>119.33499999999999</v>
      </c>
      <c r="F4" s="27">
        <v>194.202</v>
      </c>
      <c r="G4" s="27">
        <v>276.75299999999999</v>
      </c>
      <c r="H4" s="27">
        <v>282.017</v>
      </c>
      <c r="I4" s="28"/>
    </row>
    <row r="5" spans="1:11" x14ac:dyDescent="0.2">
      <c r="A5" s="25" t="s">
        <v>20</v>
      </c>
      <c r="B5" s="26">
        <v>99.668999999999997</v>
      </c>
      <c r="C5" s="27">
        <v>152.32499999999999</v>
      </c>
      <c r="D5" s="45">
        <v>153.73400000000001</v>
      </c>
      <c r="E5" s="27">
        <v>216.67</v>
      </c>
      <c r="F5" s="27">
        <v>445.88400000000001</v>
      </c>
      <c r="G5" s="27">
        <v>439.63299999999998</v>
      </c>
      <c r="H5" s="27">
        <v>332.79</v>
      </c>
      <c r="I5" s="28"/>
    </row>
    <row r="6" spans="1:11" x14ac:dyDescent="0.2">
      <c r="A6" s="25" t="s">
        <v>21</v>
      </c>
      <c r="B6" s="26">
        <v>4.5789999999999997</v>
      </c>
      <c r="C6" s="27">
        <v>1.923</v>
      </c>
      <c r="D6" s="45">
        <v>2.7879999999999998</v>
      </c>
      <c r="E6" s="27">
        <v>4.9269999999999996</v>
      </c>
      <c r="F6" s="27">
        <v>2.464</v>
      </c>
      <c r="G6" s="27">
        <f>4.366</f>
        <v>4.3659999999999997</v>
      </c>
      <c r="H6" s="27">
        <f>6.93</f>
        <v>6.93</v>
      </c>
      <c r="I6" s="28"/>
    </row>
    <row r="7" spans="1:11" x14ac:dyDescent="0.2">
      <c r="A7" s="25" t="s">
        <v>22</v>
      </c>
      <c r="B7" s="29">
        <v>3.7210000000000001</v>
      </c>
      <c r="C7" s="29">
        <v>2.016</v>
      </c>
      <c r="D7" s="45">
        <v>2.2429999999999999</v>
      </c>
      <c r="E7" s="29">
        <v>2.625</v>
      </c>
      <c r="F7" s="29">
        <v>33.484000000000002</v>
      </c>
      <c r="G7" s="29">
        <f>SUM(14.2,1.711)</f>
        <v>15.911</v>
      </c>
      <c r="H7" s="29">
        <f>SUM(3.942,0.559)</f>
        <v>4.5010000000000003</v>
      </c>
      <c r="I7" s="28"/>
    </row>
    <row r="8" spans="1:11" x14ac:dyDescent="0.2">
      <c r="A8" s="30" t="s">
        <v>23</v>
      </c>
      <c r="B8" s="31">
        <f t="shared" ref="B8:G8" si="0">SUM(B3:B7)</f>
        <v>315.70499999999998</v>
      </c>
      <c r="C8" s="31">
        <f t="shared" si="0"/>
        <v>367.988</v>
      </c>
      <c r="D8" s="31">
        <f t="shared" si="0"/>
        <v>443.32800000000003</v>
      </c>
      <c r="E8" s="31">
        <f t="shared" si="0"/>
        <v>473.46400000000006</v>
      </c>
      <c r="F8" s="31">
        <f t="shared" si="0"/>
        <v>844.29000000000008</v>
      </c>
      <c r="G8" s="31">
        <f t="shared" si="0"/>
        <v>820.81799999999987</v>
      </c>
      <c r="H8" s="31">
        <f t="shared" ref="H8" si="1">SUM(H3:H7)</f>
        <v>764.00999999999988</v>
      </c>
      <c r="I8" s="28"/>
    </row>
    <row r="9" spans="1:11" x14ac:dyDescent="0.2">
      <c r="A9" s="25" t="s">
        <v>24</v>
      </c>
      <c r="B9" s="26">
        <v>11.379</v>
      </c>
      <c r="C9" s="26">
        <v>12.042999999999999</v>
      </c>
      <c r="D9" s="27">
        <v>13.541</v>
      </c>
      <c r="E9" s="27">
        <v>26.795999999999999</v>
      </c>
      <c r="F9" s="27">
        <v>33.476999999999997</v>
      </c>
      <c r="G9" s="27">
        <v>53.765999999999998</v>
      </c>
      <c r="H9" s="27">
        <v>62.857999999999997</v>
      </c>
      <c r="I9" s="32"/>
    </row>
    <row r="10" spans="1:11" x14ac:dyDescent="0.2">
      <c r="A10" s="25" t="s">
        <v>25</v>
      </c>
      <c r="B10" s="26">
        <v>112.58799999999999</v>
      </c>
      <c r="C10" s="26">
        <v>123.414</v>
      </c>
      <c r="D10" s="27">
        <v>144.012</v>
      </c>
      <c r="E10" s="27">
        <v>217.44200000000001</v>
      </c>
      <c r="F10" s="27">
        <v>241.047</v>
      </c>
      <c r="G10" s="27">
        <v>399.02800000000002</v>
      </c>
      <c r="H10" s="27">
        <v>410.28800000000001</v>
      </c>
      <c r="I10" s="28"/>
    </row>
    <row r="11" spans="1:11" x14ac:dyDescent="0.2">
      <c r="A11" s="25" t="s">
        <v>26</v>
      </c>
      <c r="B11" s="26">
        <v>5.6769999999999996</v>
      </c>
      <c r="C11" s="26">
        <v>6.3220000000000001</v>
      </c>
      <c r="D11" s="27">
        <v>14.768000000000001</v>
      </c>
      <c r="E11" s="27">
        <v>17.425999999999998</v>
      </c>
      <c r="F11" s="27">
        <v>13.683999999999999</v>
      </c>
      <c r="G11" s="27">
        <v>29.111999999999998</v>
      </c>
      <c r="H11" s="27">
        <v>29.241</v>
      </c>
      <c r="I11" s="28"/>
    </row>
    <row r="12" spans="1:11" x14ac:dyDescent="0.2">
      <c r="A12" s="25" t="s">
        <v>27</v>
      </c>
      <c r="B12" s="41" t="s">
        <v>47</v>
      </c>
      <c r="C12" s="41" t="s">
        <v>47</v>
      </c>
      <c r="D12" s="27">
        <f>17.198</f>
        <v>17.198</v>
      </c>
      <c r="E12" s="27">
        <v>33.186</v>
      </c>
      <c r="F12" s="27">
        <v>44.655999999999999</v>
      </c>
      <c r="G12" s="27">
        <f>69.968</f>
        <v>69.968000000000004</v>
      </c>
      <c r="H12" s="27">
        <v>65.430999999999997</v>
      </c>
      <c r="I12" s="28"/>
    </row>
    <row r="13" spans="1:11" x14ac:dyDescent="0.2">
      <c r="A13" s="25" t="s">
        <v>28</v>
      </c>
      <c r="B13" s="42" t="s">
        <v>47</v>
      </c>
      <c r="C13" s="42" t="s">
        <v>47</v>
      </c>
      <c r="D13" s="43" t="s">
        <v>47</v>
      </c>
      <c r="E13" s="33">
        <v>2.3260000000000001</v>
      </c>
      <c r="F13" s="33">
        <v>1.998</v>
      </c>
      <c r="G13" s="33">
        <v>2.16</v>
      </c>
      <c r="H13" s="33">
        <v>9.2430000000000003</v>
      </c>
      <c r="I13" s="28"/>
    </row>
    <row r="14" spans="1:11" x14ac:dyDescent="0.2">
      <c r="A14" s="30" t="s">
        <v>29</v>
      </c>
      <c r="B14" s="31">
        <f t="shared" ref="B14:H14" si="2">SUM(B9:B13)</f>
        <v>129.64400000000001</v>
      </c>
      <c r="C14" s="31">
        <f t="shared" si="2"/>
        <v>141.779</v>
      </c>
      <c r="D14" s="31">
        <f t="shared" si="2"/>
        <v>189.51900000000001</v>
      </c>
      <c r="E14" s="31">
        <f t="shared" si="2"/>
        <v>297.17599999999999</v>
      </c>
      <c r="F14" s="31">
        <f t="shared" si="2"/>
        <v>334.86200000000002</v>
      </c>
      <c r="G14" s="31">
        <f t="shared" si="2"/>
        <v>554.03399999999999</v>
      </c>
      <c r="H14" s="31">
        <f t="shared" si="2"/>
        <v>577.06100000000004</v>
      </c>
      <c r="I14" s="34"/>
      <c r="J14" t="s">
        <v>148</v>
      </c>
      <c r="K14" s="19">
        <f>AVERAGE(F15:G15)</f>
        <v>1277.002</v>
      </c>
    </row>
    <row r="15" spans="1:11" ht="17" thickBot="1" x14ac:dyDescent="0.25">
      <c r="A15" s="30" t="s">
        <v>30</v>
      </c>
      <c r="B15" s="35">
        <f t="shared" ref="B15:H15" si="3">B8+B14</f>
        <v>445.34899999999999</v>
      </c>
      <c r="C15" s="35">
        <f t="shared" si="3"/>
        <v>509.767</v>
      </c>
      <c r="D15" s="35">
        <f t="shared" si="3"/>
        <v>632.84699999999998</v>
      </c>
      <c r="E15" s="35">
        <f t="shared" si="3"/>
        <v>770.6400000000001</v>
      </c>
      <c r="F15" s="35">
        <f t="shared" si="3"/>
        <v>1179.152</v>
      </c>
      <c r="G15" s="35">
        <f t="shared" si="3"/>
        <v>1374.8519999999999</v>
      </c>
      <c r="H15" s="35">
        <f t="shared" si="3"/>
        <v>1341.0709999999999</v>
      </c>
      <c r="I15" s="28"/>
      <c r="J15" t="s">
        <v>149</v>
      </c>
      <c r="K15" s="19"/>
    </row>
    <row r="16" spans="1:11" ht="17" thickTop="1" x14ac:dyDescent="0.2">
      <c r="A16" s="22" t="s">
        <v>31</v>
      </c>
      <c r="B16" s="24"/>
      <c r="C16" s="24"/>
      <c r="D16" s="24"/>
      <c r="E16" s="24"/>
      <c r="F16" s="24"/>
      <c r="G16" s="24"/>
      <c r="H16" s="24"/>
      <c r="I16" s="28"/>
    </row>
    <row r="17" spans="1:9" x14ac:dyDescent="0.2">
      <c r="A17" s="25" t="s">
        <v>32</v>
      </c>
      <c r="B17" s="26">
        <v>84.584999999999994</v>
      </c>
      <c r="C17" s="26">
        <v>122.7</v>
      </c>
      <c r="D17" s="27">
        <v>147.89099999999999</v>
      </c>
      <c r="E17" s="127">
        <v>175.79599999999999</v>
      </c>
      <c r="F17" s="127">
        <v>292.27199999999999</v>
      </c>
      <c r="G17" s="127">
        <v>261.33600000000001</v>
      </c>
      <c r="H17" s="27">
        <v>273.26900000000001</v>
      </c>
      <c r="I17" s="28"/>
    </row>
    <row r="18" spans="1:9" x14ac:dyDescent="0.2">
      <c r="A18" s="25" t="s">
        <v>33</v>
      </c>
      <c r="B18" s="41" t="s">
        <v>47</v>
      </c>
      <c r="C18" s="41" t="s">
        <v>47</v>
      </c>
      <c r="D18" s="27">
        <v>7.3819999999999997</v>
      </c>
      <c r="E18" s="27">
        <v>7.21</v>
      </c>
      <c r="F18" s="27">
        <v>12.172000000000001</v>
      </c>
      <c r="G18" s="27">
        <v>19.777000000000001</v>
      </c>
      <c r="H18" s="27">
        <v>22.02</v>
      </c>
      <c r="I18" s="28"/>
    </row>
    <row r="19" spans="1:9" x14ac:dyDescent="0.2">
      <c r="A19" s="25" t="s">
        <v>34</v>
      </c>
      <c r="B19" s="26">
        <f>SUM(10.18,13.745)</f>
        <v>23.924999999999997</v>
      </c>
      <c r="C19" s="26">
        <f>13.96+6.276</f>
        <v>20.236000000000001</v>
      </c>
      <c r="D19" s="26">
        <f>SUM(5.014,20.214)</f>
        <v>25.227999999999998</v>
      </c>
      <c r="E19" s="26">
        <f>SUM(11.861,23.592)</f>
        <v>35.453000000000003</v>
      </c>
      <c r="F19" s="26">
        <f>SUM(8.849,29.482)</f>
        <v>38.331000000000003</v>
      </c>
      <c r="G19" s="26">
        <f>SUM(6.285,29.699)</f>
        <v>35.984000000000002</v>
      </c>
      <c r="H19" s="26">
        <f>SUM(9.376,30.337)</f>
        <v>39.713000000000001</v>
      </c>
      <c r="I19" s="32" t="s">
        <v>35</v>
      </c>
    </row>
    <row r="20" spans="1:9" x14ac:dyDescent="0.2">
      <c r="A20" s="25" t="s">
        <v>36</v>
      </c>
      <c r="B20" s="29">
        <v>0.29099999999999998</v>
      </c>
      <c r="C20" s="29">
        <v>0.46400000000000002</v>
      </c>
      <c r="D20" s="29">
        <v>1.016</v>
      </c>
      <c r="E20" s="29">
        <v>0.626</v>
      </c>
      <c r="F20" s="29">
        <v>0.33</v>
      </c>
      <c r="G20" s="29">
        <f>SUM(3.245,1.43)</f>
        <v>4.6749999999999998</v>
      </c>
      <c r="H20" s="29">
        <f>SUM(2.735,0.207)</f>
        <v>2.9419999999999997</v>
      </c>
      <c r="I20" s="28"/>
    </row>
    <row r="21" spans="1:9" x14ac:dyDescent="0.2">
      <c r="A21" s="30" t="s">
        <v>37</v>
      </c>
      <c r="B21" s="31">
        <f t="shared" ref="B21:F21" si="4">SUM(B17:B20)</f>
        <v>108.80099999999999</v>
      </c>
      <c r="C21" s="31">
        <f t="shared" si="4"/>
        <v>143.4</v>
      </c>
      <c r="D21" s="31">
        <f t="shared" si="4"/>
        <v>181.517</v>
      </c>
      <c r="E21" s="31">
        <f t="shared" si="4"/>
        <v>219.08500000000001</v>
      </c>
      <c r="F21" s="31">
        <f t="shared" si="4"/>
        <v>343.10500000000002</v>
      </c>
      <c r="G21" s="31">
        <f>SUM(G17:G20)</f>
        <v>321.77199999999999</v>
      </c>
      <c r="H21" s="31">
        <f>SUM(H17:H20)</f>
        <v>337.94400000000002</v>
      </c>
      <c r="I21" s="28"/>
    </row>
    <row r="22" spans="1:9" x14ac:dyDescent="0.2">
      <c r="A22" s="25" t="s">
        <v>33</v>
      </c>
      <c r="B22" s="41" t="s">
        <v>47</v>
      </c>
      <c r="C22" s="41" t="s">
        <v>47</v>
      </c>
      <c r="D22" s="26">
        <v>16.963999999999999</v>
      </c>
      <c r="E22" s="26">
        <v>31.506</v>
      </c>
      <c r="F22" s="26">
        <v>37.643000000000001</v>
      </c>
      <c r="G22" s="26">
        <v>55.271999999999998</v>
      </c>
      <c r="H22" s="26">
        <v>49.796999999999997</v>
      </c>
      <c r="I22" s="28"/>
    </row>
    <row r="23" spans="1:9" x14ac:dyDescent="0.2">
      <c r="A23" s="25" t="s">
        <v>38</v>
      </c>
      <c r="B23" s="26">
        <f>SUM(3.69,3.422,0.877)</f>
        <v>7.9889999999999999</v>
      </c>
      <c r="C23" s="26">
        <f>SUM(3.395,4.346,1.008)</f>
        <v>8.7489999999999988</v>
      </c>
      <c r="D23" s="26">
        <f>SUM(15.499,2.724,1.06)</f>
        <v>19.282999999999998</v>
      </c>
      <c r="E23" s="26">
        <f>SUM(12.194,0.061,1.309)</f>
        <v>13.564</v>
      </c>
      <c r="F23" s="26">
        <f>SUM(9.77,0.105,1.763)</f>
        <v>11.638</v>
      </c>
      <c r="G23" s="26">
        <f>SUM(22.155,3.794)</f>
        <v>25.949000000000002</v>
      </c>
      <c r="H23" s="26">
        <f>SUM(19.413,4.272)</f>
        <v>23.685000000000002</v>
      </c>
      <c r="I23" s="28" t="s">
        <v>48</v>
      </c>
    </row>
    <row r="24" spans="1:9" x14ac:dyDescent="0.2">
      <c r="A24" s="25" t="s">
        <v>39</v>
      </c>
      <c r="B24" s="29">
        <v>45.323999999999998</v>
      </c>
      <c r="C24" s="29">
        <v>47.283000000000001</v>
      </c>
      <c r="D24" s="42" t="s">
        <v>47</v>
      </c>
      <c r="E24" s="42" t="s">
        <v>47</v>
      </c>
      <c r="F24" s="29">
        <f>172.349</f>
        <v>172.34899999999999</v>
      </c>
      <c r="G24" s="29">
        <v>202.2</v>
      </c>
      <c r="H24" s="29">
        <v>81.430999999999997</v>
      </c>
      <c r="I24" s="28" t="s">
        <v>40</v>
      </c>
    </row>
    <row r="25" spans="1:9" x14ac:dyDescent="0.2">
      <c r="A25" s="30" t="s">
        <v>41</v>
      </c>
      <c r="B25" s="31">
        <f>SUM(B23:B24)</f>
        <v>53.312999999999995</v>
      </c>
      <c r="C25" s="31">
        <f>SUM(C23:C24)</f>
        <v>56.031999999999996</v>
      </c>
      <c r="D25" s="31">
        <f>SUM(D22:D24)</f>
        <v>36.247</v>
      </c>
      <c r="E25" s="31">
        <f>SUM(E22:E24)</f>
        <v>45.07</v>
      </c>
      <c r="F25" s="31">
        <f>SUM(F22:F24)</f>
        <v>221.63</v>
      </c>
      <c r="G25" s="31">
        <f>SUM(G22:G24)</f>
        <v>283.42099999999999</v>
      </c>
      <c r="H25" s="31">
        <f>SUM(H22:H24)</f>
        <v>154.91300000000001</v>
      </c>
      <c r="I25" s="28"/>
    </row>
    <row r="26" spans="1:9" x14ac:dyDescent="0.2">
      <c r="A26" s="25" t="s">
        <v>42</v>
      </c>
      <c r="B26" s="26">
        <v>140.05000000000001</v>
      </c>
      <c r="C26" s="26">
        <v>140.05000000000001</v>
      </c>
      <c r="D26" s="27">
        <v>246.44499999999999</v>
      </c>
      <c r="E26" s="27">
        <v>309.61500000000001</v>
      </c>
      <c r="F26" s="27">
        <v>323.16500000000002</v>
      </c>
      <c r="G26" s="27">
        <v>385.541</v>
      </c>
      <c r="H26" s="27">
        <v>401.12900000000002</v>
      </c>
      <c r="I26" s="28"/>
    </row>
    <row r="27" spans="1:9" x14ac:dyDescent="0.2">
      <c r="A27" s="25" t="s">
        <v>43</v>
      </c>
      <c r="B27" s="29">
        <v>-0.69499999999999995</v>
      </c>
      <c r="C27" s="29">
        <v>4.5529999999999999</v>
      </c>
      <c r="D27" s="33">
        <v>2.0590000000000002</v>
      </c>
      <c r="E27" s="33">
        <v>-14.537000000000001</v>
      </c>
      <c r="F27" s="33">
        <v>13.845000000000001</v>
      </c>
      <c r="G27" s="33">
        <v>39.337000000000003</v>
      </c>
      <c r="H27" s="33">
        <v>28.977</v>
      </c>
      <c r="I27" s="28"/>
    </row>
    <row r="28" spans="1:9" x14ac:dyDescent="0.2">
      <c r="A28" s="36" t="s">
        <v>44</v>
      </c>
      <c r="B28" s="39">
        <v>143.88</v>
      </c>
      <c r="C28" s="39">
        <v>165.732</v>
      </c>
      <c r="D28" s="39">
        <v>166.57900000000001</v>
      </c>
      <c r="E28" s="39">
        <v>211.40700000000001</v>
      </c>
      <c r="F28" s="39">
        <v>277.40699999999998</v>
      </c>
      <c r="G28" s="39">
        <v>344.78100000000001</v>
      </c>
      <c r="H28" s="39">
        <v>418.108</v>
      </c>
      <c r="I28" s="32"/>
    </row>
    <row r="29" spans="1:9" ht="17" thickBot="1" x14ac:dyDescent="0.25">
      <c r="A29" s="30" t="s">
        <v>45</v>
      </c>
      <c r="B29" s="35">
        <f t="shared" ref="B29:G29" si="5">SUM(B26:B28)</f>
        <v>283.23500000000001</v>
      </c>
      <c r="C29" s="35">
        <f t="shared" si="5"/>
        <v>310.33500000000004</v>
      </c>
      <c r="D29" s="35">
        <f t="shared" si="5"/>
        <v>415.08299999999997</v>
      </c>
      <c r="E29" s="35">
        <f t="shared" si="5"/>
        <v>506.48500000000001</v>
      </c>
      <c r="F29" s="35">
        <f t="shared" si="5"/>
        <v>614.41700000000003</v>
      </c>
      <c r="G29" s="35">
        <f t="shared" si="5"/>
        <v>769.65899999999999</v>
      </c>
      <c r="H29" s="35">
        <f>SUM(H26:H28)</f>
        <v>848.21399999999994</v>
      </c>
      <c r="I29" s="28"/>
    </row>
    <row r="30" spans="1:9" ht="17" thickTop="1" x14ac:dyDescent="0.2">
      <c r="A30" s="37" t="s">
        <v>46</v>
      </c>
      <c r="B30" s="38">
        <f t="shared" ref="B30:G30" si="6">SUM(B29+B25+B21)</f>
        <v>445.34899999999999</v>
      </c>
      <c r="C30" s="38">
        <f t="shared" si="6"/>
        <v>509.76700000000005</v>
      </c>
      <c r="D30" s="38">
        <f t="shared" si="6"/>
        <v>632.84699999999998</v>
      </c>
      <c r="E30" s="38">
        <f t="shared" si="6"/>
        <v>770.6400000000001</v>
      </c>
      <c r="F30" s="38">
        <f t="shared" si="6"/>
        <v>1179.152</v>
      </c>
      <c r="G30" s="38">
        <f t="shared" si="6"/>
        <v>1374.8519999999999</v>
      </c>
      <c r="H30" s="38">
        <f>SUM(H29+H25+H21)</f>
        <v>1341.0709999999999</v>
      </c>
    </row>
    <row r="31" spans="1:9" x14ac:dyDescent="0.2">
      <c r="A31" s="36" t="s">
        <v>1531</v>
      </c>
      <c r="B31" s="19">
        <f>SUM(B4:B6,B9:B12)</f>
        <v>338.31200000000001</v>
      </c>
      <c r="C31" s="19">
        <f t="shared" ref="C31:H31" si="7">SUM(C4:C6,C9:C12)</f>
        <v>450.62199999999996</v>
      </c>
      <c r="D31" s="19">
        <f t="shared" si="7"/>
        <v>502.14700000000005</v>
      </c>
      <c r="E31" s="19">
        <f t="shared" si="7"/>
        <v>635.78200000000015</v>
      </c>
      <c r="F31" s="19">
        <f t="shared" si="7"/>
        <v>975.41399999999999</v>
      </c>
      <c r="G31" s="19">
        <f t="shared" si="7"/>
        <v>1272.626</v>
      </c>
      <c r="H31" s="19">
        <f t="shared" si="7"/>
        <v>1189.5549999999998</v>
      </c>
    </row>
    <row r="32" spans="1:9" x14ac:dyDescent="0.2">
      <c r="A32" s="36" t="s">
        <v>1532</v>
      </c>
      <c r="B32" s="19">
        <f>SUM(B17,B19,B23)</f>
        <v>116.499</v>
      </c>
      <c r="C32" s="19">
        <f t="shared" ref="C32:H32" si="8">SUM(C17,C19,C23)</f>
        <v>151.685</v>
      </c>
      <c r="D32" s="19">
        <f t="shared" si="8"/>
        <v>192.40199999999999</v>
      </c>
      <c r="E32" s="19">
        <f t="shared" si="8"/>
        <v>224.81299999999999</v>
      </c>
      <c r="F32" s="19">
        <f t="shared" si="8"/>
        <v>342.24099999999999</v>
      </c>
      <c r="G32" s="19">
        <f t="shared" si="8"/>
        <v>323.26900000000001</v>
      </c>
      <c r="H32" s="19">
        <f t="shared" si="8"/>
        <v>336.66700000000003</v>
      </c>
    </row>
    <row r="33" spans="1:8" x14ac:dyDescent="0.2">
      <c r="A33" s="37" t="s">
        <v>164</v>
      </c>
      <c r="B33" s="204">
        <f>B31-B32</f>
        <v>221.81300000000002</v>
      </c>
      <c r="C33" s="204">
        <f t="shared" ref="C33:H33" si="9">C31-C32</f>
        <v>298.93699999999995</v>
      </c>
      <c r="D33" s="204">
        <f t="shared" si="9"/>
        <v>309.74500000000006</v>
      </c>
      <c r="E33" s="204">
        <f t="shared" si="9"/>
        <v>410.96900000000016</v>
      </c>
      <c r="F33" s="204">
        <f t="shared" si="9"/>
        <v>633.173</v>
      </c>
      <c r="G33" s="204">
        <f t="shared" si="9"/>
        <v>949.35699999999997</v>
      </c>
      <c r="H33" s="204">
        <f t="shared" si="9"/>
        <v>852.88799999999981</v>
      </c>
    </row>
    <row r="34" spans="1:8" x14ac:dyDescent="0.2">
      <c r="A34" s="36" t="s">
        <v>22</v>
      </c>
      <c r="B34" s="19">
        <f>SUM(B3,B7,B13)</f>
        <v>107.03700000000001</v>
      </c>
      <c r="C34" s="19">
        <f t="shared" ref="C34:H34" si="10">SUM(C3,C7,C13)</f>
        <v>59.144999999999996</v>
      </c>
      <c r="D34" s="19">
        <f t="shared" si="10"/>
        <v>130.69999999999999</v>
      </c>
      <c r="E34" s="19">
        <f t="shared" si="10"/>
        <v>134.858</v>
      </c>
      <c r="F34" s="19">
        <f t="shared" si="10"/>
        <v>203.738</v>
      </c>
      <c r="G34" s="19">
        <f t="shared" si="10"/>
        <v>102.226</v>
      </c>
      <c r="H34" s="19">
        <f t="shared" si="10"/>
        <v>151.51599999999999</v>
      </c>
    </row>
    <row r="35" spans="1:8" x14ac:dyDescent="0.2">
      <c r="A35" s="36" t="s">
        <v>166</v>
      </c>
      <c r="B35" s="19">
        <f>SUM(B18,B20,B22,B24)</f>
        <v>45.614999999999995</v>
      </c>
      <c r="C35" s="19">
        <f t="shared" ref="C35:H35" si="11">SUM(C18,C20,C22,C24)</f>
        <v>47.747</v>
      </c>
      <c r="D35" s="19">
        <f t="shared" si="11"/>
        <v>25.361999999999998</v>
      </c>
      <c r="E35" s="19">
        <f t="shared" si="11"/>
        <v>39.341999999999999</v>
      </c>
      <c r="F35" s="19">
        <f t="shared" si="11"/>
        <v>222.494</v>
      </c>
      <c r="G35" s="19">
        <f t="shared" si="11"/>
        <v>281.92399999999998</v>
      </c>
      <c r="H35" s="19">
        <f t="shared" si="11"/>
        <v>156.19</v>
      </c>
    </row>
    <row r="36" spans="1:8" x14ac:dyDescent="0.2">
      <c r="A36" s="37" t="s">
        <v>1533</v>
      </c>
      <c r="B36" s="38">
        <f>B35-B34</f>
        <v>-61.422000000000011</v>
      </c>
      <c r="C36" s="38">
        <f t="shared" ref="C36:H36" si="12">C35-C34</f>
        <v>-11.397999999999996</v>
      </c>
      <c r="D36" s="38">
        <f t="shared" si="12"/>
        <v>-105.33799999999999</v>
      </c>
      <c r="E36" s="38">
        <f t="shared" si="12"/>
        <v>-95.516000000000005</v>
      </c>
      <c r="F36" s="38">
        <f t="shared" si="12"/>
        <v>18.756</v>
      </c>
      <c r="G36" s="38">
        <f t="shared" si="12"/>
        <v>179.69799999999998</v>
      </c>
      <c r="H36" s="38">
        <f t="shared" si="12"/>
        <v>4.6740000000000066</v>
      </c>
    </row>
    <row r="37" spans="1:8" x14ac:dyDescent="0.2">
      <c r="A37" s="37" t="s">
        <v>1534</v>
      </c>
      <c r="B37" s="38">
        <f>B36+B29</f>
        <v>221.81299999999999</v>
      </c>
      <c r="C37" s="38">
        <f t="shared" ref="C37:H37" si="13">C36+C29</f>
        <v>298.93700000000001</v>
      </c>
      <c r="D37" s="38">
        <f t="shared" si="13"/>
        <v>309.745</v>
      </c>
      <c r="E37" s="38">
        <f t="shared" si="13"/>
        <v>410.96899999999999</v>
      </c>
      <c r="F37" s="38">
        <f t="shared" si="13"/>
        <v>633.173</v>
      </c>
      <c r="G37" s="38">
        <f t="shared" si="13"/>
        <v>949.35699999999997</v>
      </c>
      <c r="H37" s="38">
        <f t="shared" si="13"/>
        <v>852.88799999999992</v>
      </c>
    </row>
  </sheetData>
  <pageMargins left="0.7" right="0.7" top="0.75" bottom="0.75" header="0.3" footer="0.3"/>
  <ignoredErrors>
    <ignoredError sqref="B31:H3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A566B-E682-4F4B-9F7E-576EE1610CA5}">
  <dimension ref="A1:I20"/>
  <sheetViews>
    <sheetView zoomScale="248" zoomScaleNormal="220" workbookViewId="0">
      <selection activeCell="A29" sqref="A29"/>
    </sheetView>
  </sheetViews>
  <sheetFormatPr baseColWidth="10" defaultRowHeight="16" x14ac:dyDescent="0.2"/>
  <cols>
    <col min="1" max="1" width="40.1640625" bestFit="1" customWidth="1"/>
    <col min="9" max="9" width="18.5" bestFit="1" customWidth="1"/>
  </cols>
  <sheetData>
    <row r="1" spans="1:9" x14ac:dyDescent="0.2">
      <c r="A1" s="22" t="s">
        <v>0</v>
      </c>
      <c r="B1" s="22">
        <v>2018</v>
      </c>
      <c r="C1" s="22">
        <v>2019</v>
      </c>
      <c r="D1" s="22">
        <v>2020</v>
      </c>
      <c r="E1" s="22">
        <v>2021</v>
      </c>
      <c r="F1" s="22">
        <v>2022</v>
      </c>
      <c r="G1" s="22">
        <v>2023</v>
      </c>
      <c r="H1" s="22">
        <v>2024</v>
      </c>
      <c r="I1" s="23" t="s">
        <v>1</v>
      </c>
    </row>
    <row r="2" spans="1:9" x14ac:dyDescent="0.2">
      <c r="A2" s="22" t="s">
        <v>49</v>
      </c>
      <c r="B2" s="22"/>
      <c r="C2" s="22"/>
      <c r="D2" s="22"/>
      <c r="E2" s="22"/>
      <c r="F2" s="22"/>
      <c r="G2" s="22"/>
      <c r="H2" s="22"/>
      <c r="I2" s="23"/>
    </row>
    <row r="3" spans="1:9" x14ac:dyDescent="0.2">
      <c r="A3" s="25" t="s">
        <v>50</v>
      </c>
      <c r="B3" s="46">
        <v>692.02300000000002</v>
      </c>
      <c r="C3" s="46">
        <v>775.99199999999996</v>
      </c>
      <c r="D3" s="47">
        <v>1004.785</v>
      </c>
      <c r="E3" s="47">
        <v>1314.5119999999999</v>
      </c>
      <c r="F3" s="47">
        <v>1458.5719999999999</v>
      </c>
      <c r="G3" s="47">
        <v>1474.0920000000001</v>
      </c>
      <c r="H3" s="47">
        <v>1617.0719999999999</v>
      </c>
      <c r="I3" s="28"/>
    </row>
    <row r="4" spans="1:9" x14ac:dyDescent="0.2">
      <c r="A4" s="25" t="s">
        <v>51</v>
      </c>
      <c r="B4" s="46">
        <v>-579.18499999999995</v>
      </c>
      <c r="C4" s="46">
        <v>-717.66800000000001</v>
      </c>
      <c r="D4" s="47">
        <v>-836.779</v>
      </c>
      <c r="E4" s="47">
        <v>-1148.624</v>
      </c>
      <c r="F4" s="47">
        <v>-1445.886</v>
      </c>
      <c r="G4" s="47">
        <v>-1319.6310000000001</v>
      </c>
      <c r="H4" s="47">
        <v>-1253.165</v>
      </c>
      <c r="I4" s="28"/>
    </row>
    <row r="5" spans="1:9" x14ac:dyDescent="0.2">
      <c r="A5" s="25" t="s">
        <v>52</v>
      </c>
      <c r="B5" s="46">
        <v>-2.9039999999999999</v>
      </c>
      <c r="C5" s="46">
        <v>-2.996</v>
      </c>
      <c r="D5" s="47">
        <v>-6.9729999999999999</v>
      </c>
      <c r="E5" s="47">
        <v>-7.3840000000000003</v>
      </c>
      <c r="F5" s="47">
        <v>-7.8339999999999996</v>
      </c>
      <c r="G5" s="47">
        <v>-21.669</v>
      </c>
      <c r="H5" s="47">
        <v>-22.457000000000001</v>
      </c>
      <c r="I5" s="28"/>
    </row>
    <row r="6" spans="1:9" x14ac:dyDescent="0.2">
      <c r="A6" s="25" t="s">
        <v>53</v>
      </c>
      <c r="B6" s="46" t="s">
        <v>47</v>
      </c>
      <c r="C6" s="46" t="s">
        <v>47</v>
      </c>
      <c r="D6" s="47" t="s">
        <v>47</v>
      </c>
      <c r="E6" s="47" t="s">
        <v>47</v>
      </c>
      <c r="F6" s="47" t="s">
        <v>47</v>
      </c>
      <c r="G6" s="47" t="s">
        <v>47</v>
      </c>
      <c r="H6" s="47" t="s">
        <v>47</v>
      </c>
      <c r="I6" s="28"/>
    </row>
    <row r="7" spans="1:9" x14ac:dyDescent="0.2">
      <c r="A7" s="25" t="s">
        <v>54</v>
      </c>
      <c r="B7" s="46">
        <v>-22.326000000000001</v>
      </c>
      <c r="C7" s="46">
        <v>-25.436</v>
      </c>
      <c r="D7" s="47">
        <v>-28.93</v>
      </c>
      <c r="E7" s="47">
        <v>-33.4</v>
      </c>
      <c r="F7" s="47">
        <v>-47.357999999999997</v>
      </c>
      <c r="G7" s="47">
        <v>-43.177</v>
      </c>
      <c r="H7" s="47">
        <v>-41.265999999999998</v>
      </c>
      <c r="I7" s="28"/>
    </row>
    <row r="8" spans="1:9" x14ac:dyDescent="0.2">
      <c r="A8" s="25" t="s">
        <v>67</v>
      </c>
      <c r="B8" s="46">
        <v>1.044</v>
      </c>
      <c r="C8" s="46">
        <v>0.44900000000000001</v>
      </c>
      <c r="D8" s="47">
        <v>0.192</v>
      </c>
      <c r="E8" s="47">
        <v>0.35299999999999998</v>
      </c>
      <c r="F8" s="47">
        <v>0.35299999999999998</v>
      </c>
      <c r="G8" s="47">
        <v>0.66900000000000004</v>
      </c>
      <c r="H8" s="47">
        <v>2.431</v>
      </c>
      <c r="I8" s="28"/>
    </row>
    <row r="9" spans="1:9" x14ac:dyDescent="0.2">
      <c r="A9" s="25" t="s">
        <v>68</v>
      </c>
      <c r="B9" s="56">
        <v>-4.2000000000000003E-2</v>
      </c>
      <c r="C9" s="56">
        <v>1.179</v>
      </c>
      <c r="D9" s="55">
        <v>0.124</v>
      </c>
      <c r="E9" s="55">
        <v>-4.266</v>
      </c>
      <c r="F9" s="55">
        <v>1.6220000000000001</v>
      </c>
      <c r="G9" s="55">
        <v>7.3689999999999998</v>
      </c>
      <c r="H9" s="55">
        <v>-0.72299999999999998</v>
      </c>
      <c r="I9" s="28"/>
    </row>
    <row r="10" spans="1:9" x14ac:dyDescent="0.2">
      <c r="A10" s="30" t="s">
        <v>55</v>
      </c>
      <c r="B10" s="49">
        <f t="shared" ref="B10:F10" si="0">SUM(B3:B9)</f>
        <v>88.610000000000085</v>
      </c>
      <c r="C10" s="49">
        <f t="shared" si="0"/>
        <v>31.519999999999953</v>
      </c>
      <c r="D10" s="49">
        <f t="shared" si="0"/>
        <v>132.41899999999995</v>
      </c>
      <c r="E10" s="49">
        <f t="shared" si="0"/>
        <v>121.19099999999989</v>
      </c>
      <c r="F10" s="49">
        <f t="shared" si="0"/>
        <v>-40.53100000000007</v>
      </c>
      <c r="G10" s="49">
        <f>SUM(G3:G9)</f>
        <v>97.653000000000006</v>
      </c>
      <c r="H10" s="49">
        <f>SUM(H3:H9)</f>
        <v>301.89199999999988</v>
      </c>
      <c r="I10" s="28"/>
    </row>
    <row r="11" spans="1:9" x14ac:dyDescent="0.2">
      <c r="A11" s="22" t="s">
        <v>56</v>
      </c>
      <c r="B11" s="22"/>
      <c r="C11" s="22"/>
      <c r="D11" s="22"/>
      <c r="E11" s="22"/>
      <c r="F11" s="22"/>
      <c r="G11" s="22"/>
      <c r="H11" s="22"/>
      <c r="I11" s="28"/>
    </row>
    <row r="12" spans="1:9" x14ac:dyDescent="0.2">
      <c r="A12" s="25" t="s">
        <v>57</v>
      </c>
      <c r="B12" s="46">
        <v>-4.2949999999999999</v>
      </c>
      <c r="C12" s="46">
        <f>SUM(-5.473,0.095)</f>
        <v>-5.3780000000000001</v>
      </c>
      <c r="D12" s="46">
        <f>SUM(-7.004,0.126)</f>
        <v>-6.8779999999999992</v>
      </c>
      <c r="E12" s="46">
        <f>SUM(-8.523,0.057)</f>
        <v>-8.4659999999999993</v>
      </c>
      <c r="F12" s="46">
        <f>SUM(-16.55,0.042)</f>
        <v>-16.507999999999999</v>
      </c>
      <c r="G12" s="46">
        <f>SUM(-20.479,0.044)</f>
        <v>-20.434999999999999</v>
      </c>
      <c r="H12" s="46">
        <f>SUM(-24.925,0.257)</f>
        <v>-24.667999999999999</v>
      </c>
      <c r="I12" s="28" t="s">
        <v>58</v>
      </c>
    </row>
    <row r="13" spans="1:9" x14ac:dyDescent="0.2">
      <c r="A13" s="50" t="s">
        <v>59</v>
      </c>
      <c r="B13" s="48">
        <f>-SUM(15.17,9.071)</f>
        <v>-24.241</v>
      </c>
      <c r="C13" s="48">
        <v>-23.003</v>
      </c>
      <c r="D13" s="48">
        <f>SUM(-31.372,-14.289)</f>
        <v>-45.661000000000001</v>
      </c>
      <c r="E13" s="48">
        <f>SUM(-22.592,-60.636)</f>
        <v>-83.228000000000009</v>
      </c>
      <c r="F13" s="48">
        <v>-26.141999999999999</v>
      </c>
      <c r="G13" s="48">
        <f>SUM(-32.764,-79.647)</f>
        <v>-112.411</v>
      </c>
      <c r="H13" s="48">
        <v>-37.194000000000003</v>
      </c>
      <c r="I13" s="28" t="s">
        <v>60</v>
      </c>
    </row>
    <row r="14" spans="1:9" x14ac:dyDescent="0.2">
      <c r="A14" s="30" t="s">
        <v>61</v>
      </c>
      <c r="B14" s="49">
        <f>SUM(B12:B13)</f>
        <v>-28.536000000000001</v>
      </c>
      <c r="C14" s="49">
        <f>SUM(C12:C13)</f>
        <v>-28.381</v>
      </c>
      <c r="D14" s="49">
        <f>SUM(D12:D13)</f>
        <v>-52.539000000000001</v>
      </c>
      <c r="E14" s="49">
        <f>SUM(E12:E13)</f>
        <v>-91.694000000000003</v>
      </c>
      <c r="F14" s="49">
        <f t="shared" ref="F14:H14" si="1">SUM(F12:F13)</f>
        <v>-42.65</v>
      </c>
      <c r="G14" s="49">
        <f t="shared" si="1"/>
        <v>-132.846</v>
      </c>
      <c r="H14" s="49">
        <f t="shared" si="1"/>
        <v>-61.862000000000002</v>
      </c>
      <c r="I14" s="28"/>
    </row>
    <row r="15" spans="1:9" x14ac:dyDescent="0.2">
      <c r="A15" s="22" t="s">
        <v>62</v>
      </c>
      <c r="B15" s="22"/>
      <c r="C15" s="22"/>
      <c r="D15" s="22"/>
      <c r="E15" s="22"/>
      <c r="F15" s="22"/>
      <c r="G15" s="22"/>
      <c r="H15" s="22"/>
      <c r="I15" s="28"/>
    </row>
    <row r="16" spans="1:9" x14ac:dyDescent="0.2">
      <c r="A16" s="51" t="s">
        <v>63</v>
      </c>
      <c r="B16" s="52">
        <v>-33.881999999999998</v>
      </c>
      <c r="C16" s="52">
        <v>-49.326000000000001</v>
      </c>
      <c r="D16" s="53">
        <v>-8.5519999999999996</v>
      </c>
      <c r="E16" s="53">
        <v>-26.856999999999999</v>
      </c>
      <c r="F16" s="53">
        <v>121.53</v>
      </c>
      <c r="G16" s="53">
        <v>-48.878</v>
      </c>
      <c r="H16" s="53">
        <v>-186.41300000000001</v>
      </c>
      <c r="I16" s="28"/>
    </row>
    <row r="17" spans="1:9" x14ac:dyDescent="0.2">
      <c r="A17" s="25" t="s">
        <v>64</v>
      </c>
      <c r="B17" s="46">
        <f t="shared" ref="B17:F17" si="2">B10+B14+B16</f>
        <v>26.192000000000085</v>
      </c>
      <c r="C17" s="46">
        <f t="shared" si="2"/>
        <v>-46.187000000000047</v>
      </c>
      <c r="D17" s="46">
        <f>D10+D14+D16</f>
        <v>71.327999999999946</v>
      </c>
      <c r="E17" s="46">
        <f t="shared" si="2"/>
        <v>2.6399999999998869</v>
      </c>
      <c r="F17" s="46">
        <f t="shared" si="2"/>
        <v>38.348999999999933</v>
      </c>
      <c r="G17" s="46">
        <f>G10+G14+G16</f>
        <v>-84.070999999999998</v>
      </c>
      <c r="H17" s="46">
        <f>H10+H14+H16</f>
        <v>53.616999999999877</v>
      </c>
      <c r="I17" s="28"/>
    </row>
    <row r="18" spans="1:9" x14ac:dyDescent="0.2">
      <c r="A18" s="50" t="s">
        <v>65</v>
      </c>
      <c r="B18" s="48">
        <v>77.123999999999995</v>
      </c>
      <c r="C18" s="48">
        <v>103.316</v>
      </c>
      <c r="D18" s="48">
        <v>57.128999999999998</v>
      </c>
      <c r="E18" s="48">
        <v>128.45699999999999</v>
      </c>
      <c r="F18" s="48">
        <v>129.90700000000001</v>
      </c>
      <c r="G18" s="48">
        <v>168.256</v>
      </c>
      <c r="H18" s="48">
        <f>G19</f>
        <v>84.185000000000002</v>
      </c>
      <c r="I18" s="28"/>
    </row>
    <row r="19" spans="1:9" ht="17" thickBot="1" x14ac:dyDescent="0.25">
      <c r="A19" s="30" t="s">
        <v>66</v>
      </c>
      <c r="B19" s="54">
        <f t="shared" ref="B19:F19" si="3">B17+B18</f>
        <v>103.31600000000009</v>
      </c>
      <c r="C19" s="54">
        <f t="shared" si="3"/>
        <v>57.128999999999955</v>
      </c>
      <c r="D19" s="54">
        <f>D17+D18</f>
        <v>128.45699999999994</v>
      </c>
      <c r="E19" s="54">
        <f t="shared" si="3"/>
        <v>131.09699999999987</v>
      </c>
      <c r="F19" s="54">
        <f t="shared" si="3"/>
        <v>168.25599999999994</v>
      </c>
      <c r="G19" s="54">
        <f>G17+G18</f>
        <v>84.185000000000002</v>
      </c>
      <c r="H19" s="54">
        <f>H17+H18</f>
        <v>137.80199999999988</v>
      </c>
      <c r="I19" s="28"/>
    </row>
    <row r="20" spans="1:9" ht="17" thickTop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745C-77FE-E941-9A84-5E89B5CA0061}">
  <dimension ref="A6:T119"/>
  <sheetViews>
    <sheetView zoomScale="128" workbookViewId="0">
      <selection activeCell="B21" sqref="B21"/>
    </sheetView>
  </sheetViews>
  <sheetFormatPr baseColWidth="10" defaultRowHeight="16" x14ac:dyDescent="0.2"/>
  <cols>
    <col min="2" max="2" width="14" customWidth="1"/>
    <col min="18" max="18" width="10.83203125" customWidth="1"/>
  </cols>
  <sheetData>
    <row r="6" spans="1:2" ht="17" thickBot="1" x14ac:dyDescent="0.25"/>
    <row r="7" spans="1:2" x14ac:dyDescent="0.2">
      <c r="A7" s="92" t="s">
        <v>120</v>
      </c>
      <c r="B7" s="93" t="s">
        <v>122</v>
      </c>
    </row>
    <row r="8" spans="1:2" x14ac:dyDescent="0.2">
      <c r="A8" s="94">
        <v>2020</v>
      </c>
      <c r="B8" s="95">
        <v>-2.7570000000000001</v>
      </c>
    </row>
    <row r="9" spans="1:2" x14ac:dyDescent="0.2">
      <c r="A9" s="94">
        <v>2021</v>
      </c>
      <c r="B9" s="95">
        <v>-2.72</v>
      </c>
    </row>
    <row r="10" spans="1:2" x14ac:dyDescent="0.2">
      <c r="A10" s="94">
        <v>2022</v>
      </c>
      <c r="B10" s="95">
        <v>-1.635</v>
      </c>
    </row>
    <row r="11" spans="1:2" x14ac:dyDescent="0.2">
      <c r="A11" s="94">
        <v>2023</v>
      </c>
      <c r="B11" s="95">
        <v>-1.849</v>
      </c>
    </row>
    <row r="12" spans="1:2" ht="17" thickBot="1" x14ac:dyDescent="0.25">
      <c r="A12" s="96">
        <v>2024</v>
      </c>
      <c r="B12" s="97">
        <v>-2.4769999999999999</v>
      </c>
    </row>
    <row r="13" spans="1:2" x14ac:dyDescent="0.2">
      <c r="A13" s="40"/>
      <c r="B13" s="40"/>
    </row>
    <row r="26" spans="5:5" x14ac:dyDescent="0.2">
      <c r="E26" t="s">
        <v>123</v>
      </c>
    </row>
    <row r="59" spans="2:20" ht="17" thickBot="1" x14ac:dyDescent="0.25"/>
    <row r="60" spans="2:20" x14ac:dyDescent="0.2">
      <c r="B60" s="84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6"/>
    </row>
    <row r="61" spans="2:20" x14ac:dyDescent="0.2">
      <c r="B61" s="87"/>
      <c r="T61" s="98"/>
    </row>
    <row r="62" spans="2:20" x14ac:dyDescent="0.2">
      <c r="B62" s="87"/>
      <c r="T62" s="98"/>
    </row>
    <row r="63" spans="2:20" x14ac:dyDescent="0.2">
      <c r="B63" s="87"/>
      <c r="T63" s="98"/>
    </row>
    <row r="64" spans="2:20" x14ac:dyDescent="0.2">
      <c r="B64" s="87"/>
      <c r="T64" s="98"/>
    </row>
    <row r="65" spans="2:20" x14ac:dyDescent="0.2">
      <c r="B65" s="87"/>
      <c r="T65" s="98"/>
    </row>
    <row r="66" spans="2:20" x14ac:dyDescent="0.2">
      <c r="B66" s="87"/>
      <c r="T66" s="98"/>
    </row>
    <row r="67" spans="2:20" x14ac:dyDescent="0.2">
      <c r="B67" s="87"/>
      <c r="T67" s="98"/>
    </row>
    <row r="68" spans="2:20" x14ac:dyDescent="0.2">
      <c r="B68" s="87"/>
      <c r="T68" s="98"/>
    </row>
    <row r="69" spans="2:20" x14ac:dyDescent="0.2">
      <c r="B69" s="87"/>
      <c r="T69" s="98"/>
    </row>
    <row r="70" spans="2:20" x14ac:dyDescent="0.2">
      <c r="B70" s="87"/>
      <c r="T70" s="98"/>
    </row>
    <row r="71" spans="2:20" x14ac:dyDescent="0.2">
      <c r="B71" s="87"/>
      <c r="T71" s="98"/>
    </row>
    <row r="72" spans="2:20" x14ac:dyDescent="0.2">
      <c r="B72" s="87"/>
      <c r="T72" s="98"/>
    </row>
    <row r="73" spans="2:20" x14ac:dyDescent="0.2">
      <c r="B73" s="87"/>
      <c r="T73" s="98"/>
    </row>
    <row r="74" spans="2:20" x14ac:dyDescent="0.2">
      <c r="B74" s="87"/>
      <c r="T74" s="98"/>
    </row>
    <row r="75" spans="2:20" x14ac:dyDescent="0.2">
      <c r="B75" s="87"/>
      <c r="T75" s="98"/>
    </row>
    <row r="76" spans="2:20" x14ac:dyDescent="0.2">
      <c r="B76" s="87"/>
      <c r="T76" s="98"/>
    </row>
    <row r="77" spans="2:20" x14ac:dyDescent="0.2">
      <c r="B77" s="87"/>
      <c r="T77" s="98"/>
    </row>
    <row r="78" spans="2:20" x14ac:dyDescent="0.2">
      <c r="B78" s="87"/>
      <c r="T78" s="98"/>
    </row>
    <row r="79" spans="2:20" x14ac:dyDescent="0.2">
      <c r="B79" s="87"/>
      <c r="T79" s="98"/>
    </row>
    <row r="80" spans="2:20" x14ac:dyDescent="0.2">
      <c r="B80" s="87"/>
      <c r="T80" s="98"/>
    </row>
    <row r="81" spans="2:20" x14ac:dyDescent="0.2">
      <c r="B81" s="87"/>
      <c r="T81" s="98"/>
    </row>
    <row r="82" spans="2:20" x14ac:dyDescent="0.2">
      <c r="B82" s="87"/>
      <c r="T82" s="98"/>
    </row>
    <row r="83" spans="2:20" x14ac:dyDescent="0.2">
      <c r="B83" s="87"/>
      <c r="T83" s="98"/>
    </row>
    <row r="84" spans="2:20" x14ac:dyDescent="0.2">
      <c r="B84" s="87"/>
      <c r="T84" s="98"/>
    </row>
    <row r="85" spans="2:20" x14ac:dyDescent="0.2">
      <c r="B85" s="87"/>
      <c r="T85" s="98"/>
    </row>
    <row r="86" spans="2:20" x14ac:dyDescent="0.2">
      <c r="B86" s="87"/>
      <c r="T86" s="98"/>
    </row>
    <row r="87" spans="2:20" x14ac:dyDescent="0.2">
      <c r="B87" s="87"/>
      <c r="T87" s="98"/>
    </row>
    <row r="88" spans="2:20" x14ac:dyDescent="0.2">
      <c r="B88" s="87"/>
      <c r="T88" s="98"/>
    </row>
    <row r="89" spans="2:20" x14ac:dyDescent="0.2">
      <c r="B89" s="87"/>
      <c r="T89" s="98"/>
    </row>
    <row r="90" spans="2:20" x14ac:dyDescent="0.2">
      <c r="B90" s="87"/>
      <c r="T90" s="98"/>
    </row>
    <row r="91" spans="2:20" x14ac:dyDescent="0.2">
      <c r="B91" s="87"/>
      <c r="T91" s="98"/>
    </row>
    <row r="92" spans="2:20" x14ac:dyDescent="0.2">
      <c r="B92" s="87"/>
      <c r="T92" s="98"/>
    </row>
    <row r="93" spans="2:20" x14ac:dyDescent="0.2">
      <c r="B93" s="87"/>
      <c r="T93" s="98"/>
    </row>
    <row r="94" spans="2:20" x14ac:dyDescent="0.2">
      <c r="B94" s="87"/>
      <c r="T94" s="98"/>
    </row>
    <row r="95" spans="2:20" x14ac:dyDescent="0.2">
      <c r="B95" s="87"/>
      <c r="T95" s="98"/>
    </row>
    <row r="96" spans="2:20" x14ac:dyDescent="0.2">
      <c r="B96" s="87"/>
      <c r="T96" s="98"/>
    </row>
    <row r="97" spans="2:20" x14ac:dyDescent="0.2">
      <c r="B97" s="87"/>
      <c r="T97" s="98"/>
    </row>
    <row r="98" spans="2:20" x14ac:dyDescent="0.2">
      <c r="B98" s="87"/>
      <c r="T98" s="98"/>
    </row>
    <row r="99" spans="2:20" x14ac:dyDescent="0.2">
      <c r="B99" s="87"/>
      <c r="T99" s="98"/>
    </row>
    <row r="100" spans="2:20" x14ac:dyDescent="0.2">
      <c r="B100" s="87"/>
      <c r="T100" s="98"/>
    </row>
    <row r="101" spans="2:20" x14ac:dyDescent="0.2">
      <c r="B101" s="87"/>
      <c r="T101" s="98"/>
    </row>
    <row r="102" spans="2:20" x14ac:dyDescent="0.2">
      <c r="B102" s="87"/>
      <c r="T102" s="98"/>
    </row>
    <row r="103" spans="2:20" x14ac:dyDescent="0.2">
      <c r="B103" s="87"/>
      <c r="T103" s="98"/>
    </row>
    <row r="104" spans="2:20" x14ac:dyDescent="0.2">
      <c r="B104" s="87"/>
      <c r="T104" s="98"/>
    </row>
    <row r="105" spans="2:20" x14ac:dyDescent="0.2">
      <c r="B105" s="87"/>
      <c r="T105" s="98"/>
    </row>
    <row r="106" spans="2:20" x14ac:dyDescent="0.2">
      <c r="B106" s="87"/>
      <c r="T106" s="98"/>
    </row>
    <row r="107" spans="2:20" x14ac:dyDescent="0.2">
      <c r="B107" s="87"/>
      <c r="T107" s="98"/>
    </row>
    <row r="108" spans="2:20" x14ac:dyDescent="0.2">
      <c r="B108" s="87"/>
      <c r="T108" s="98"/>
    </row>
    <row r="109" spans="2:20" x14ac:dyDescent="0.2">
      <c r="B109" s="87"/>
      <c r="T109" s="98"/>
    </row>
    <row r="110" spans="2:20" x14ac:dyDescent="0.2">
      <c r="B110" s="87"/>
      <c r="T110" s="98"/>
    </row>
    <row r="111" spans="2:20" x14ac:dyDescent="0.2">
      <c r="B111" s="87"/>
      <c r="T111" s="98"/>
    </row>
    <row r="112" spans="2:20" x14ac:dyDescent="0.2">
      <c r="B112" s="87"/>
      <c r="T112" s="98"/>
    </row>
    <row r="113" spans="2:20" x14ac:dyDescent="0.2">
      <c r="B113" s="87"/>
      <c r="T113" s="98"/>
    </row>
    <row r="114" spans="2:20" x14ac:dyDescent="0.2">
      <c r="B114" s="87"/>
      <c r="T114" s="98"/>
    </row>
    <row r="115" spans="2:20" x14ac:dyDescent="0.2">
      <c r="B115" s="87"/>
      <c r="T115" s="98"/>
    </row>
    <row r="116" spans="2:20" x14ac:dyDescent="0.2">
      <c r="B116" s="87"/>
      <c r="T116" s="98"/>
    </row>
    <row r="117" spans="2:20" x14ac:dyDescent="0.2">
      <c r="B117" s="87"/>
      <c r="T117" s="98"/>
    </row>
    <row r="118" spans="2:20" x14ac:dyDescent="0.2">
      <c r="B118" s="87"/>
      <c r="T118" s="98"/>
    </row>
    <row r="119" spans="2:20" ht="17" thickBot="1" x14ac:dyDescent="0.25">
      <c r="B119" s="88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100"/>
    </row>
  </sheetData>
  <conditionalFormatting sqref="B8:B12">
    <cfRule type="cellIs" dxfId="0" priority="1" operator="greaterThan">
      <formula>-2.2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59BB5-5675-8448-BFA9-20ABC6A1BEBC}">
  <dimension ref="A1:G3"/>
  <sheetViews>
    <sheetView zoomScale="168" workbookViewId="0">
      <selection activeCell="D35" sqref="D35"/>
    </sheetView>
  </sheetViews>
  <sheetFormatPr baseColWidth="10" defaultRowHeight="16" x14ac:dyDescent="0.2"/>
  <cols>
    <col min="1" max="1" width="14.5" bestFit="1" customWidth="1"/>
  </cols>
  <sheetData>
    <row r="1" spans="1:7" ht="17" thickBot="1" x14ac:dyDescent="0.25"/>
    <row r="2" spans="1:7" x14ac:dyDescent="0.2">
      <c r="A2" s="89"/>
      <c r="B2" s="90">
        <v>2019</v>
      </c>
      <c r="C2" s="90">
        <v>2020</v>
      </c>
      <c r="D2" s="90">
        <v>2021</v>
      </c>
      <c r="E2" s="90">
        <v>2022</v>
      </c>
      <c r="F2" s="90">
        <v>2023</v>
      </c>
      <c r="G2" s="91">
        <v>2024</v>
      </c>
    </row>
    <row r="3" spans="1:7" ht="17" thickBot="1" x14ac:dyDescent="0.25">
      <c r="A3" s="88" t="s">
        <v>124</v>
      </c>
      <c r="B3" s="101">
        <f>('Comprehensive Income '!C13-'Comprehensive Income '!B13)/'Balance Sheet '!C15</f>
        <v>1.739225960095489E-2</v>
      </c>
      <c r="C3" s="101">
        <f>('Comprehensive Income '!D13-'Comprehensive Income '!C13)/'Balance Sheet '!D15</f>
        <v>-3.1867102158973475E-2</v>
      </c>
      <c r="D3" s="101">
        <f>('Comprehensive Income '!E13-'Comprehensive Income '!D13)/'Balance Sheet '!E15</f>
        <v>5.6770995536177773E-2</v>
      </c>
      <c r="E3" s="101">
        <f>('Comprehensive Income '!F13-'Comprehensive Income '!E13)/'Balance Sheet '!F15</f>
        <v>1.2508141444020602E-2</v>
      </c>
      <c r="F3" s="101">
        <f>('Comprehensive Income '!G13-'Comprehensive Income '!F13)/'Balance Sheet '!G15</f>
        <v>3.2665334159605744E-3</v>
      </c>
      <c r="G3" s="102">
        <f>('Comprehensive Income '!H13-'Comprehensive Income '!G13)/'Balance Sheet '!H15</f>
        <v>6.188337530227574E-3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2145-087D-F644-B347-DE481E5A9400}">
  <dimension ref="A1:Q36"/>
  <sheetViews>
    <sheetView zoomScale="107" zoomScaleNormal="118" workbookViewId="0">
      <selection activeCell="I28" sqref="I28"/>
    </sheetView>
  </sheetViews>
  <sheetFormatPr baseColWidth="10" defaultRowHeight="16" x14ac:dyDescent="0.2"/>
  <cols>
    <col min="1" max="1" width="25.33203125" bestFit="1" customWidth="1"/>
    <col min="5" max="5" width="19.5" bestFit="1" customWidth="1"/>
    <col min="12" max="13" width="10.83203125" customWidth="1"/>
  </cols>
  <sheetData>
    <row r="1" spans="1:17" ht="17" thickBot="1" x14ac:dyDescent="0.25">
      <c r="A1" s="212" t="s">
        <v>137</v>
      </c>
      <c r="B1" s="212"/>
      <c r="C1" s="212"/>
      <c r="D1" s="212"/>
      <c r="E1" s="212"/>
      <c r="F1" s="212"/>
      <c r="G1" s="212"/>
    </row>
    <row r="2" spans="1:17" x14ac:dyDescent="0.2">
      <c r="A2" s="126" t="s">
        <v>130</v>
      </c>
      <c r="B2" s="124">
        <v>2022</v>
      </c>
      <c r="C2" s="125">
        <v>2023</v>
      </c>
      <c r="E2" s="123" t="s">
        <v>131</v>
      </c>
      <c r="F2" s="124">
        <v>2022</v>
      </c>
      <c r="G2" s="125">
        <v>2023</v>
      </c>
      <c r="O2" t="s">
        <v>144</v>
      </c>
      <c r="P2">
        <v>2022</v>
      </c>
      <c r="Q2">
        <v>2023</v>
      </c>
    </row>
    <row r="3" spans="1:17" x14ac:dyDescent="0.2">
      <c r="A3" s="87" t="s">
        <v>127</v>
      </c>
      <c r="B3" s="45">
        <f>'Comprehensive Income '!F3</f>
        <v>1418.4369999999999</v>
      </c>
      <c r="C3" s="112">
        <f>'Comprehensive Income '!G3</f>
        <v>1478.5540000000001</v>
      </c>
      <c r="E3" s="87" t="s">
        <v>132</v>
      </c>
      <c r="F3" s="116">
        <f>B4/B3</f>
        <v>7.4530627726152029E-2</v>
      </c>
      <c r="G3" s="117">
        <f>C4/C3</f>
        <v>7.4537690202725174E-2</v>
      </c>
      <c r="O3" t="s">
        <v>142</v>
      </c>
      <c r="P3" s="109">
        <f>F6</f>
        <v>0.1886284438782336</v>
      </c>
      <c r="Q3" s="109">
        <f>G6</f>
        <v>0.15925137058947647</v>
      </c>
    </row>
    <row r="4" spans="1:17" x14ac:dyDescent="0.2">
      <c r="A4" s="87" t="s">
        <v>121</v>
      </c>
      <c r="B4" s="45">
        <f>'Comprehensive Income '!F13</f>
        <v>105.7169999999999</v>
      </c>
      <c r="C4" s="112">
        <f>'Comprehensive Income '!G13</f>
        <v>110.20800000000013</v>
      </c>
      <c r="E4" s="87" t="s">
        <v>133</v>
      </c>
      <c r="F4" s="118">
        <f>B3/B5</f>
        <v>1.4549623754738965</v>
      </c>
      <c r="G4" s="119">
        <f>C3/C5</f>
        <v>1.157832172541625</v>
      </c>
      <c r="O4" t="s">
        <v>138</v>
      </c>
      <c r="P4" s="109">
        <f>F13</f>
        <v>0.10970879111526362</v>
      </c>
      <c r="Q4" s="109">
        <f>G13</f>
        <v>0.1441362143206712</v>
      </c>
    </row>
    <row r="5" spans="1:17" x14ac:dyDescent="0.2">
      <c r="A5" s="87" t="s">
        <v>128</v>
      </c>
      <c r="B5" s="45">
        <f>AVERAGE('Balance Sheet '!E15,'Balance Sheet '!F15)</f>
        <v>974.89600000000007</v>
      </c>
      <c r="C5" s="112">
        <f>AVERAGE('Balance Sheet '!F15,'Balance Sheet '!G15)</f>
        <v>1277.002</v>
      </c>
      <c r="E5" s="87" t="s">
        <v>134</v>
      </c>
      <c r="F5" s="44">
        <f>B5/B6</f>
        <v>1.7394848077708847</v>
      </c>
      <c r="G5" s="120">
        <f>C5/C6</f>
        <v>1.8452772824613677</v>
      </c>
      <c r="H5" s="110" t="s">
        <v>136</v>
      </c>
      <c r="O5" t="s">
        <v>143</v>
      </c>
      <c r="P5" s="109">
        <f>F20</f>
        <v>0.22281120754936798</v>
      </c>
      <c r="Q5" s="109">
        <f>G20</f>
        <v>0.18573789616955089</v>
      </c>
    </row>
    <row r="6" spans="1:17" ht="17" thickBot="1" x14ac:dyDescent="0.25">
      <c r="A6" s="115" t="s">
        <v>129</v>
      </c>
      <c r="B6" s="113">
        <f>AVERAGE('Balance Sheet '!E29,'Balance Sheet '!F29)</f>
        <v>560.45100000000002</v>
      </c>
      <c r="C6" s="114">
        <f>AVERAGE('Balance Sheet '!F29,'Balance Sheet '!G29)</f>
        <v>692.03800000000001</v>
      </c>
      <c r="E6" s="88" t="s">
        <v>135</v>
      </c>
      <c r="F6" s="121">
        <f>F3*F4*F5</f>
        <v>0.1886284438782336</v>
      </c>
      <c r="G6" s="122">
        <f>G3*G4*G5</f>
        <v>0.15925137058947647</v>
      </c>
      <c r="H6" s="111">
        <f>AVERAGE(F6:G6)</f>
        <v>0.17393990723385505</v>
      </c>
    </row>
    <row r="8" spans="1:17" ht="17" thickBot="1" x14ac:dyDescent="0.25">
      <c r="A8" s="212" t="s">
        <v>139</v>
      </c>
      <c r="B8" s="212"/>
      <c r="C8" s="212"/>
      <c r="D8" s="212"/>
      <c r="E8" s="212"/>
      <c r="F8" s="212"/>
      <c r="G8" s="212"/>
    </row>
    <row r="9" spans="1:17" x14ac:dyDescent="0.2">
      <c r="A9" s="126" t="s">
        <v>138</v>
      </c>
      <c r="B9" s="124">
        <v>2022</v>
      </c>
      <c r="C9" s="125">
        <v>2023</v>
      </c>
      <c r="E9" s="123" t="s">
        <v>131</v>
      </c>
      <c r="F9" s="124">
        <v>2022</v>
      </c>
      <c r="G9" s="125">
        <v>2023</v>
      </c>
    </row>
    <row r="10" spans="1:17" x14ac:dyDescent="0.2">
      <c r="A10" t="s">
        <v>127</v>
      </c>
      <c r="B10" s="45">
        <v>5163.67</v>
      </c>
      <c r="C10" s="112">
        <v>5028.79</v>
      </c>
      <c r="E10" s="87" t="s">
        <v>132</v>
      </c>
      <c r="F10" s="116">
        <f>B11/B10</f>
        <v>5.6167415810847707E-2</v>
      </c>
      <c r="G10" s="117">
        <f>C11/C10</f>
        <v>8.1407257014112736E-2</v>
      </c>
    </row>
    <row r="11" spans="1:17" x14ac:dyDescent="0.2">
      <c r="A11" t="s">
        <v>121</v>
      </c>
      <c r="B11" s="45">
        <v>290.02999999999997</v>
      </c>
      <c r="C11" s="112">
        <v>409.38</v>
      </c>
      <c r="E11" s="87" t="s">
        <v>133</v>
      </c>
      <c r="F11" s="118">
        <f>B10/B12</f>
        <v>0.84397235639985657</v>
      </c>
      <c r="G11" s="119">
        <f>C10/C12</f>
        <v>0.83516127639362669</v>
      </c>
    </row>
    <row r="12" spans="1:17" x14ac:dyDescent="0.2">
      <c r="A12" t="s">
        <v>128</v>
      </c>
      <c r="B12" s="45">
        <v>6118.2928099999999</v>
      </c>
      <c r="C12" s="112">
        <v>6021.34</v>
      </c>
      <c r="E12" s="87" t="s">
        <v>134</v>
      </c>
      <c r="F12" s="44">
        <f>B12/B13</f>
        <v>2.3143485428207748</v>
      </c>
      <c r="G12" s="120">
        <f>C12/C13</f>
        <v>2.1200184492100993</v>
      </c>
      <c r="H12" s="110" t="s">
        <v>136</v>
      </c>
    </row>
    <row r="13" spans="1:17" ht="17" thickBot="1" x14ac:dyDescent="0.25">
      <c r="A13" s="115" t="s">
        <v>129</v>
      </c>
      <c r="B13" s="113">
        <v>2643.6350000000002</v>
      </c>
      <c r="C13" s="114">
        <v>2840.23</v>
      </c>
      <c r="E13" s="88" t="s">
        <v>135</v>
      </c>
      <c r="F13" s="121">
        <f>F10*F11*F12</f>
        <v>0.10970879111526362</v>
      </c>
      <c r="G13" s="122">
        <f>G10*G11*G12</f>
        <v>0.1441362143206712</v>
      </c>
      <c r="H13" s="111">
        <f>AVERAGE(F13:G13)</f>
        <v>0.1269225027179674</v>
      </c>
    </row>
    <row r="15" spans="1:17" ht="17" thickBot="1" x14ac:dyDescent="0.25">
      <c r="A15" s="212" t="s">
        <v>140</v>
      </c>
      <c r="B15" s="212"/>
      <c r="C15" s="212"/>
      <c r="D15" s="212"/>
      <c r="E15" s="212"/>
      <c r="F15" s="212"/>
      <c r="G15" s="212"/>
    </row>
    <row r="16" spans="1:17" x14ac:dyDescent="0.2">
      <c r="A16" s="126" t="s">
        <v>141</v>
      </c>
      <c r="B16" s="124">
        <v>2022</v>
      </c>
      <c r="C16" s="125">
        <v>2023</v>
      </c>
      <c r="E16" s="123" t="s">
        <v>131</v>
      </c>
      <c r="F16" s="124">
        <v>2022</v>
      </c>
      <c r="G16" s="125">
        <v>2023</v>
      </c>
    </row>
    <row r="17" spans="1:8" x14ac:dyDescent="0.2">
      <c r="A17" t="s">
        <v>127</v>
      </c>
      <c r="B17" s="45">
        <v>970.25</v>
      </c>
      <c r="C17" s="112">
        <v>947.06</v>
      </c>
      <c r="E17" s="87" t="s">
        <v>132</v>
      </c>
      <c r="F17" s="116">
        <f>B18/B17</f>
        <v>3.9422829167740273E-2</v>
      </c>
      <c r="G17" s="117">
        <f>C18/C17</f>
        <v>4.0345912613773155E-2</v>
      </c>
    </row>
    <row r="18" spans="1:8" x14ac:dyDescent="0.2">
      <c r="A18" t="s">
        <v>121</v>
      </c>
      <c r="B18" s="45">
        <v>38.25</v>
      </c>
      <c r="C18" s="112">
        <v>38.21</v>
      </c>
      <c r="E18" s="87" t="s">
        <v>133</v>
      </c>
      <c r="F18" s="118">
        <f>B17/B19</f>
        <v>1.6616572901413758</v>
      </c>
      <c r="G18" s="119">
        <f>C17/C19</f>
        <v>1.6173301227863448</v>
      </c>
    </row>
    <row r="19" spans="1:8" x14ac:dyDescent="0.2">
      <c r="A19" t="s">
        <v>128</v>
      </c>
      <c r="B19" s="45">
        <v>583.90499999999997</v>
      </c>
      <c r="C19" s="112">
        <v>585.57000000000005</v>
      </c>
      <c r="E19" s="87" t="s">
        <v>134</v>
      </c>
      <c r="F19" s="44">
        <f>B19/B20</f>
        <v>3.4013223044212735</v>
      </c>
      <c r="G19" s="120">
        <f>C19/C20</f>
        <v>2.8464417655065142</v>
      </c>
      <c r="H19" s="110" t="s">
        <v>136</v>
      </c>
    </row>
    <row r="20" spans="1:8" ht="17" thickBot="1" x14ac:dyDescent="0.25">
      <c r="A20" s="115" t="s">
        <v>129</v>
      </c>
      <c r="B20" s="113">
        <v>171.67</v>
      </c>
      <c r="C20" s="114">
        <v>205.72</v>
      </c>
      <c r="E20" s="88" t="s">
        <v>135</v>
      </c>
      <c r="F20" s="121">
        <f>F17*F18*F19</f>
        <v>0.22281120754936798</v>
      </c>
      <c r="G20" s="122">
        <f>G17*G18*G19</f>
        <v>0.18573789616955089</v>
      </c>
      <c r="H20" s="111">
        <f>AVERAGE(F20:G20)</f>
        <v>0.20427455185945942</v>
      </c>
    </row>
    <row r="23" spans="1:8" ht="17" thickBot="1" x14ac:dyDescent="0.25">
      <c r="E23" s="212" t="s">
        <v>147</v>
      </c>
      <c r="F23" s="212"/>
      <c r="G23" s="212"/>
    </row>
    <row r="24" spans="1:8" x14ac:dyDescent="0.2">
      <c r="E24" s="126" t="s">
        <v>1517</v>
      </c>
      <c r="F24" s="124">
        <v>2022</v>
      </c>
      <c r="G24" s="125">
        <v>2023</v>
      </c>
    </row>
    <row r="25" spans="1:8" x14ac:dyDescent="0.2">
      <c r="E25" s="87" t="s">
        <v>80</v>
      </c>
      <c r="F25" s="109">
        <f>Ratios!F9</f>
        <v>0.16696384716341331</v>
      </c>
      <c r="G25" s="207">
        <f>Ratios!G9</f>
        <v>0.11608699361778564</v>
      </c>
    </row>
    <row r="26" spans="1:8" x14ac:dyDescent="0.2">
      <c r="E26" s="87" t="s">
        <v>145</v>
      </c>
      <c r="F26" s="109">
        <f>Ratios!F10</f>
        <v>3.0526499104028697E-2</v>
      </c>
      <c r="G26" s="207">
        <f>Ratios!G10</f>
        <v>0.23347742311854988</v>
      </c>
    </row>
    <row r="27" spans="1:8" x14ac:dyDescent="0.2">
      <c r="E27" s="87" t="s">
        <v>82</v>
      </c>
      <c r="F27" s="109">
        <f>Ratios!F11</f>
        <v>-0.32510716529583311</v>
      </c>
      <c r="G27" s="207">
        <f>Ratios!G11</f>
        <v>-8.5419709247214995E-2</v>
      </c>
    </row>
    <row r="28" spans="1:8" x14ac:dyDescent="0.2">
      <c r="E28" s="87" t="s">
        <v>83</v>
      </c>
      <c r="F28" s="109">
        <f>F25-F27</f>
        <v>0.49207101245924645</v>
      </c>
      <c r="G28" s="207">
        <f>G25-G27</f>
        <v>0.20150670286500064</v>
      </c>
    </row>
    <row r="29" spans="1:8" ht="17" thickBot="1" x14ac:dyDescent="0.25">
      <c r="E29" s="88" t="s">
        <v>146</v>
      </c>
      <c r="F29" s="208">
        <f>F25+F26*F28</f>
        <v>0.181985052484369</v>
      </c>
      <c r="G29" s="209">
        <f>G25+G26*G28</f>
        <v>0.16313425934382131</v>
      </c>
    </row>
    <row r="32" spans="1:8" x14ac:dyDescent="0.2">
      <c r="B32" s="109"/>
      <c r="C32" s="109"/>
    </row>
    <row r="33" spans="2:3" x14ac:dyDescent="0.2">
      <c r="B33" s="109"/>
      <c r="C33" s="109"/>
    </row>
    <row r="34" spans="2:3" x14ac:dyDescent="0.2">
      <c r="B34" s="109"/>
      <c r="C34" s="109"/>
    </row>
    <row r="35" spans="2:3" x14ac:dyDescent="0.2">
      <c r="B35" s="109"/>
      <c r="C35" s="109"/>
    </row>
    <row r="36" spans="2:3" x14ac:dyDescent="0.2">
      <c r="B36" s="109"/>
      <c r="C36" s="109"/>
    </row>
  </sheetData>
  <mergeCells count="4">
    <mergeCell ref="A1:G1"/>
    <mergeCell ref="A8:G8"/>
    <mergeCell ref="A15:G15"/>
    <mergeCell ref="E23:G2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7F41-4BDA-8940-BB6C-52638822A922}">
  <dimension ref="A1:Z993"/>
  <sheetViews>
    <sheetView topLeftCell="A16" zoomScale="150" workbookViewId="0">
      <selection activeCell="A25" sqref="A25:H31"/>
    </sheetView>
  </sheetViews>
  <sheetFormatPr baseColWidth="10" defaultColWidth="12.6640625" defaultRowHeight="16" x14ac:dyDescent="0.2"/>
  <cols>
    <col min="1" max="1" width="32.1640625" customWidth="1"/>
    <col min="2" max="4" width="10" customWidth="1"/>
    <col min="5" max="8" width="8.6640625" customWidth="1"/>
    <col min="9" max="10" width="12" customWidth="1"/>
    <col min="11" max="11" width="14.1640625" style="4" bestFit="1" customWidth="1"/>
    <col min="12" max="12" width="10.6640625" style="25" customWidth="1"/>
    <col min="13" max="13" width="10" customWidth="1"/>
    <col min="14" max="14" width="17.1640625" bestFit="1" customWidth="1"/>
    <col min="15" max="15" width="16.33203125" bestFit="1" customWidth="1"/>
    <col min="16" max="16" width="13.1640625" bestFit="1" customWidth="1"/>
    <col min="17" max="17" width="17.1640625" bestFit="1" customWidth="1"/>
    <col min="18" max="26" width="10" customWidth="1"/>
  </cols>
  <sheetData>
    <row r="1" spans="1:17" x14ac:dyDescent="0.2">
      <c r="A1" s="57" t="s">
        <v>69</v>
      </c>
      <c r="B1" s="57">
        <v>2018</v>
      </c>
      <c r="C1" s="57">
        <v>2019</v>
      </c>
      <c r="D1" s="57">
        <v>2020</v>
      </c>
      <c r="E1" s="15">
        <v>2021</v>
      </c>
      <c r="F1" s="15">
        <v>2022</v>
      </c>
      <c r="G1" s="15">
        <v>2023</v>
      </c>
      <c r="H1" s="15">
        <v>2024</v>
      </c>
      <c r="I1" s="58" t="s">
        <v>70</v>
      </c>
      <c r="J1" s="15" t="s">
        <v>71</v>
      </c>
      <c r="K1" s="59" t="s">
        <v>72</v>
      </c>
      <c r="L1" s="60" t="s">
        <v>1</v>
      </c>
      <c r="N1" s="123" t="s">
        <v>1538</v>
      </c>
      <c r="O1" s="124" t="s">
        <v>1537</v>
      </c>
      <c r="P1" s="124" t="s">
        <v>93</v>
      </c>
      <c r="Q1" s="125" t="s">
        <v>94</v>
      </c>
    </row>
    <row r="2" spans="1:17" x14ac:dyDescent="0.2">
      <c r="A2" s="57" t="s">
        <v>73</v>
      </c>
      <c r="B2" s="57"/>
      <c r="C2" s="57"/>
      <c r="D2" s="57"/>
      <c r="E2" s="58"/>
      <c r="F2" s="58"/>
      <c r="G2" s="58"/>
      <c r="H2" s="58"/>
      <c r="I2" s="58"/>
      <c r="J2" s="58"/>
      <c r="K2" s="58"/>
      <c r="L2" s="60"/>
      <c r="N2" s="87" t="s">
        <v>130</v>
      </c>
      <c r="O2">
        <f>Ratios!G16</f>
        <v>3.36</v>
      </c>
      <c r="P2" s="210">
        <f>Ratios!G21</f>
        <v>27.4997954097385</v>
      </c>
      <c r="Q2" s="98">
        <f>Ratios!G14</f>
        <v>3.38</v>
      </c>
    </row>
    <row r="3" spans="1:17" x14ac:dyDescent="0.2">
      <c r="A3" s="61" t="s">
        <v>74</v>
      </c>
      <c r="B3" s="62">
        <f>'Comprehensive Income '!B5/'Comprehensive Income '!B3</f>
        <v>0.35911034146869419</v>
      </c>
      <c r="C3" s="62">
        <f>'Comprehensive Income '!C5/'Comprehensive Income '!C3</f>
        <v>0.35685760039580666</v>
      </c>
      <c r="D3" s="62">
        <f>'Comprehensive Income '!D5/'Comprehensive Income '!D3</f>
        <v>0.33663640831551583</v>
      </c>
      <c r="E3" s="62">
        <f>'Comprehensive Income '!E5/'Comprehensive Income '!E3</f>
        <v>0.34830536374498072</v>
      </c>
      <c r="F3" s="62">
        <f>'Comprehensive Income '!F5/'Comprehensive Income '!F3</f>
        <v>0.34258624105265156</v>
      </c>
      <c r="G3" s="62">
        <f>'Comprehensive Income '!G5/'Comprehensive Income '!G3</f>
        <v>0.34962672989961818</v>
      </c>
      <c r="H3" s="62">
        <f>'Comprehensive Income '!H5/'Comprehensive Income '!H3</f>
        <v>0.36401343012680448</v>
      </c>
      <c r="I3" s="63">
        <f>AVERAGE(B3:H3)</f>
        <v>0.35101944500058163</v>
      </c>
      <c r="J3" s="63">
        <f>MEDIAN(B3:H3)</f>
        <v>0.34962672989961818</v>
      </c>
      <c r="K3" s="63">
        <f>I3</f>
        <v>0.35101944500058163</v>
      </c>
      <c r="L3" s="28"/>
      <c r="N3" s="87" t="s">
        <v>1518</v>
      </c>
      <c r="O3" s="44">
        <f>5066.91/831.39</f>
        <v>6.0945043842240105</v>
      </c>
      <c r="P3" s="44">
        <f>5066.91/787.41</f>
        <v>6.4349068464967427</v>
      </c>
      <c r="Q3" s="120">
        <f>5066.91/6280.19</f>
        <v>0.80680839273971017</v>
      </c>
    </row>
    <row r="4" spans="1:17" ht="17" thickBot="1" x14ac:dyDescent="0.25">
      <c r="A4" s="61" t="s">
        <v>75</v>
      </c>
      <c r="B4" s="62">
        <f>'Comprehensive Income '!B13/'Comprehensive Income '!B3</f>
        <v>9.047954048224624E-2</v>
      </c>
      <c r="C4" s="62">
        <f>'Comprehensive Income '!C13/'Comprehensive Income '!C3</f>
        <v>8.8668323756163042E-2</v>
      </c>
      <c r="D4" s="62">
        <f>'Comprehensive Income '!D13/'Comprehensive Income '!D3</f>
        <v>4.9586030471181833E-2</v>
      </c>
      <c r="E4" s="62">
        <f>'Comprehensive Income '!E13/'Comprehensive Income '!E3</f>
        <v>7.6594375995130012E-2</v>
      </c>
      <c r="F4" s="62">
        <f>'Comprehensive Income '!F13/'Comprehensive Income '!F3</f>
        <v>7.4530627726152029E-2</v>
      </c>
      <c r="G4" s="62">
        <f>'Comprehensive Income '!G13/'Comprehensive Income '!G3</f>
        <v>7.4537690202725174E-2</v>
      </c>
      <c r="H4" s="62">
        <f>'Comprehensive Income '!H13/'Comprehensive Income '!H3</f>
        <v>7.7455909928999644E-2</v>
      </c>
      <c r="I4" s="63">
        <f t="shared" ref="I4:I8" si="0">AVERAGE(B4:H4)</f>
        <v>7.5978928366085427E-2</v>
      </c>
      <c r="J4" s="63">
        <f t="shared" ref="J4:J8" si="1">MEDIAN(B4:H4)</f>
        <v>7.6594375995130012E-2</v>
      </c>
      <c r="K4" s="63">
        <f>I4</f>
        <v>7.5978928366085427E-2</v>
      </c>
      <c r="L4" s="28"/>
      <c r="N4" s="88" t="s">
        <v>141</v>
      </c>
      <c r="O4" s="153">
        <f>951.61/192.5</f>
        <v>4.9434285714285711</v>
      </c>
      <c r="P4" s="153">
        <f>951.61/41.68</f>
        <v>22.831333973128601</v>
      </c>
      <c r="Q4" s="211">
        <f>951.61/585.15</f>
        <v>1.6262667692044777</v>
      </c>
    </row>
    <row r="5" spans="1:17" x14ac:dyDescent="0.2">
      <c r="A5" s="61" t="s">
        <v>76</v>
      </c>
      <c r="B5" s="62">
        <f>'Comprehensive Income '!B9/'Comprehensive Income '!B3</f>
        <v>0.13437492752390745</v>
      </c>
      <c r="C5" s="62">
        <f>'Comprehensive Income '!C9/'Comprehensive Income '!C3</f>
        <v>0.1280910881656703</v>
      </c>
      <c r="D5" s="62">
        <f>'Comprehensive Income '!D9/'Comprehensive Income '!D3</f>
        <v>8.6066176316154333E-2</v>
      </c>
      <c r="E5" s="62">
        <f>'Comprehensive Income '!E9/'Comprehensive Income '!E3</f>
        <v>0.11487304015714958</v>
      </c>
      <c r="F5" s="62">
        <f>'Comprehensive Income '!F9/'Comprehensive Income '!F3</f>
        <v>0.11023471609948125</v>
      </c>
      <c r="G5" s="62">
        <f>'Comprehensive Income '!G9/'Comprehensive Income '!G3</f>
        <v>0.11634407671278839</v>
      </c>
      <c r="H5" s="62">
        <f>'Comprehensive Income '!H9/'Comprehensive Income '!H3</f>
        <v>0.12138160109229257</v>
      </c>
      <c r="I5" s="63">
        <f t="shared" si="0"/>
        <v>0.11590937515249197</v>
      </c>
      <c r="J5" s="63">
        <f t="shared" si="1"/>
        <v>0.11634407671278839</v>
      </c>
      <c r="K5" s="63">
        <f>I5</f>
        <v>0.11590937515249197</v>
      </c>
      <c r="L5" s="28"/>
    </row>
    <row r="6" spans="1:17" x14ac:dyDescent="0.2">
      <c r="A6" s="61" t="s">
        <v>77</v>
      </c>
      <c r="B6" s="62">
        <f>('Comprehensive Income '!B9-'Comprehensive Income '!B7)/'Comprehensive Income '!B3</f>
        <v>0.15494190316420955</v>
      </c>
      <c r="C6" s="62">
        <f>('Comprehensive Income '!C9-'Comprehensive Income '!C7)/'Comprehensive Income '!C3</f>
        <v>0.14995519542295913</v>
      </c>
      <c r="D6" s="62">
        <f>('Comprehensive Income '!D9-'Comprehensive Income '!D7)/'Comprehensive Income '!D3</f>
        <v>0.11293113949785986</v>
      </c>
      <c r="E6" s="62">
        <f>('Comprehensive Income '!E9-'Comprehensive Income '!E7)/'Comprehensive Income '!E3</f>
        <v>0.13749569531321709</v>
      </c>
      <c r="F6" s="62">
        <f>('Comprehensive Income '!F9-'Comprehensive Income '!F7)/'Comprehensive Income '!F3</f>
        <v>0.13171187722824482</v>
      </c>
      <c r="G6" s="62">
        <f>('Comprehensive Income '!G9-'Comprehensive Income '!G7)/'Comprehensive Income '!G3</f>
        <v>0.14755159432797185</v>
      </c>
      <c r="H6" s="62">
        <f>('Comprehensive Income '!H9-'Comprehensive Income '!H7)/'Comprehensive Income '!H3</f>
        <v>0.16045694326706067</v>
      </c>
      <c r="I6" s="63">
        <f t="shared" si="0"/>
        <v>0.14214919260307471</v>
      </c>
      <c r="J6" s="63">
        <f t="shared" si="1"/>
        <v>0.14755159432797185</v>
      </c>
      <c r="K6" s="63">
        <f t="shared" ref="K6:K8" si="2">I6</f>
        <v>0.14214919260307471</v>
      </c>
      <c r="L6" s="28"/>
    </row>
    <row r="7" spans="1:17" x14ac:dyDescent="0.2">
      <c r="A7" s="61" t="s">
        <v>78</v>
      </c>
      <c r="B7" s="62">
        <f>'Comprehensive Income '!B11/'Balance Sheet '!B15</f>
        <v>0.1894536644294699</v>
      </c>
      <c r="C7" s="62">
        <f>'Comprehensive Income '!C11/'Balance Sheet '!C15</f>
        <v>0.18500805269858575</v>
      </c>
      <c r="D7" s="62">
        <f>'Comprehensive Income '!D11/'Balance Sheet '!D15</f>
        <v>0.11658426128274302</v>
      </c>
      <c r="E7" s="62">
        <f>'Comprehensive Income '!E11/'Balance Sheet '!E15</f>
        <v>0.165321031869615</v>
      </c>
      <c r="F7" s="62">
        <f>'Comprehensive Income '!F11/'Balance Sheet '!F15</f>
        <v>0.12537314951761935</v>
      </c>
      <c r="G7" s="62">
        <f>'Comprehensive Income '!G11/'Balance Sheet '!G15</f>
        <v>0.10982345736122881</v>
      </c>
      <c r="H7" s="62">
        <f>'Comprehensive Income '!H11/'Balance Sheet '!H15</f>
        <v>0.12354826851076488</v>
      </c>
      <c r="I7" s="63">
        <f t="shared" si="0"/>
        <v>0.14501598366714669</v>
      </c>
      <c r="J7" s="63">
        <f t="shared" si="1"/>
        <v>0.12537314951761935</v>
      </c>
      <c r="K7" s="63">
        <f t="shared" si="2"/>
        <v>0.14501598366714669</v>
      </c>
      <c r="L7" s="28"/>
    </row>
    <row r="8" spans="1:17" x14ac:dyDescent="0.2">
      <c r="A8" s="61" t="s">
        <v>79</v>
      </c>
      <c r="B8" s="62"/>
      <c r="C8" s="62">
        <f>'Comprehensive Income '!C13/AVERAGE('Balance Sheet '!B29:C29)</f>
        <v>0.22704988459659334</v>
      </c>
      <c r="D8" s="62">
        <f>'Comprehensive Income '!D13/AVERAGE('Balance Sheet '!C29:D29)</f>
        <v>0.13018149535853832</v>
      </c>
      <c r="E8" s="62">
        <f>'Comprehensive Income '!E13/AVERAGE('Balance Sheet '!D29:E29)</f>
        <v>0.19742004930726786</v>
      </c>
      <c r="F8" s="62">
        <f>'Comprehensive Income '!F13/AVERAGE('Balance Sheet '!E29:F29)</f>
        <v>0.1886284438782336</v>
      </c>
      <c r="G8" s="62">
        <f>'Comprehensive Income '!G13/AVERAGE('Balance Sheet '!F29:G29)</f>
        <v>0.15925137058947647</v>
      </c>
      <c r="H8" s="62">
        <f>'Comprehensive Income '!H13/AVERAGE('Balance Sheet '!G29:H29)</f>
        <v>0.14649728377938187</v>
      </c>
      <c r="I8" s="63">
        <f t="shared" si="0"/>
        <v>0.17483808791824859</v>
      </c>
      <c r="J8" s="63">
        <f t="shared" si="1"/>
        <v>0.17393990723385505</v>
      </c>
      <c r="K8" s="63">
        <f t="shared" si="2"/>
        <v>0.17483808791824859</v>
      </c>
      <c r="L8" s="28"/>
    </row>
    <row r="9" spans="1:17" x14ac:dyDescent="0.2">
      <c r="A9" s="61" t="s">
        <v>80</v>
      </c>
      <c r="B9" s="62">
        <f>'Comprehensive Income '!B13/'Balance Sheet '!B33</f>
        <v>0.26382132697362187</v>
      </c>
      <c r="C9" s="62">
        <f>'Comprehensive Income '!C13/'Balance Sheet '!C33</f>
        <v>0.22541538852667944</v>
      </c>
      <c r="D9" s="62">
        <f>'Comprehensive Income '!D13/'Balance Sheet '!D33</f>
        <v>0.15244152447981424</v>
      </c>
      <c r="E9" s="62">
        <f>'Comprehensive Income '!E13/'Balance Sheet '!E33</f>
        <v>0.22135002883429183</v>
      </c>
      <c r="F9" s="62">
        <f>'Comprehensive Income '!F13/'Balance Sheet '!F33</f>
        <v>0.16696384716341331</v>
      </c>
      <c r="G9" s="62">
        <f>'Comprehensive Income '!G13/'Balance Sheet '!G33</f>
        <v>0.11608699361778564</v>
      </c>
      <c r="H9" s="62">
        <f>'Comprehensive Income '!H13/'Balance Sheet '!H33</f>
        <v>0.13894790406243254</v>
      </c>
      <c r="I9" s="63"/>
      <c r="J9" s="63"/>
      <c r="K9" s="63"/>
      <c r="L9" s="28"/>
    </row>
    <row r="10" spans="1:17" x14ac:dyDescent="0.2">
      <c r="A10" s="61" t="s">
        <v>81</v>
      </c>
      <c r="B10" s="62">
        <f>'Balance Sheet '!B36/'Balance Sheet '!B29</f>
        <v>-0.21685879216904694</v>
      </c>
      <c r="C10" s="62">
        <f>'Balance Sheet '!C36/'Balance Sheet '!C29</f>
        <v>-3.6728051943867093E-2</v>
      </c>
      <c r="D10" s="62">
        <f>'Balance Sheet '!D36/'Balance Sheet '!D29</f>
        <v>-0.25377575087392162</v>
      </c>
      <c r="E10" s="62">
        <f>'Balance Sheet '!E36/'Balance Sheet '!E29</f>
        <v>-0.18858603907322033</v>
      </c>
      <c r="F10" s="62">
        <f>'Balance Sheet '!F36/'Balance Sheet '!F29</f>
        <v>3.0526499104028697E-2</v>
      </c>
      <c r="G10" s="62">
        <f>'Balance Sheet '!G36/'Balance Sheet '!G29</f>
        <v>0.23347742311854988</v>
      </c>
      <c r="H10" s="62">
        <f>'Balance Sheet '!H36/'Balance Sheet '!H29</f>
        <v>5.5104018561353699E-3</v>
      </c>
      <c r="I10" s="63"/>
      <c r="J10" s="63"/>
      <c r="K10" s="63"/>
      <c r="L10" s="28"/>
    </row>
    <row r="11" spans="1:17" x14ac:dyDescent="0.2">
      <c r="A11" s="61" t="s">
        <v>82</v>
      </c>
      <c r="B11" s="62">
        <f>'Comprehensive Income '!B25/'Balance Sheet '!B36</f>
        <v>2.8636418474681614E-2</v>
      </c>
      <c r="C11" s="62">
        <f>'Comprehensive Income '!C25/'Balance Sheet '!C36</f>
        <v>0.19019005618103099</v>
      </c>
      <c r="D11" s="62">
        <f>'Comprehensive Income '!D25/'Balance Sheet '!D36</f>
        <v>4.9673498840616573E-2</v>
      </c>
      <c r="E11" s="62">
        <f>'Comprehensive Income '!E25/'Balance Sheet '!E36</f>
        <v>6.7480191675912418E-2</v>
      </c>
      <c r="F11" s="62">
        <f>'Comprehensive Income '!F25/'Balance Sheet '!F36</f>
        <v>-0.32510716529583311</v>
      </c>
      <c r="G11" s="62">
        <f>'Comprehensive Income '!G25/'Balance Sheet '!G36</f>
        <v>-8.5419709247214995E-2</v>
      </c>
      <c r="H11" s="62">
        <f>'Comprehensive Income '!H25/'Balance Sheet '!H36</f>
        <v>-3.0645102154365755</v>
      </c>
      <c r="I11" s="63"/>
      <c r="J11" s="63"/>
      <c r="K11" s="63"/>
      <c r="L11" s="28"/>
    </row>
    <row r="12" spans="1:17" x14ac:dyDescent="0.2">
      <c r="A12" s="57" t="s">
        <v>84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22"/>
    </row>
    <row r="13" spans="1:17" x14ac:dyDescent="0.2">
      <c r="A13" s="57" t="s">
        <v>85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22"/>
    </row>
    <row r="14" spans="1:17" x14ac:dyDescent="0.2">
      <c r="A14" s="61" t="s">
        <v>86</v>
      </c>
      <c r="B14" s="66">
        <v>6.3</v>
      </c>
      <c r="C14" s="66">
        <v>4.54</v>
      </c>
      <c r="D14" s="66">
        <v>6.77</v>
      </c>
      <c r="E14" s="66">
        <v>9.02</v>
      </c>
      <c r="F14" s="66">
        <v>4.1100000000000003</v>
      </c>
      <c r="G14" s="66">
        <v>3.38</v>
      </c>
      <c r="H14" s="66">
        <v>4.8899999999999997</v>
      </c>
      <c r="I14" s="67">
        <f>AVERAGE(B14:H14)</f>
        <v>5.572857142857143</v>
      </c>
      <c r="J14" s="67">
        <f>MEDIAN(B14:H14)</f>
        <v>4.8899999999999997</v>
      </c>
      <c r="K14" s="68"/>
      <c r="L14" s="69"/>
    </row>
    <row r="15" spans="1:17" x14ac:dyDescent="0.2">
      <c r="A15" s="61" t="s">
        <v>87</v>
      </c>
      <c r="B15" s="129">
        <v>0.1588</v>
      </c>
      <c r="C15" s="129">
        <v>0.22040000000000001</v>
      </c>
      <c r="D15" s="129">
        <v>0.14779999999999999</v>
      </c>
      <c r="E15" s="129">
        <v>0.1109</v>
      </c>
      <c r="F15" s="129">
        <v>0.24329999999999999</v>
      </c>
      <c r="G15" s="129">
        <v>0.29620000000000002</v>
      </c>
      <c r="H15" s="129">
        <v>0.2046</v>
      </c>
      <c r="I15" s="67">
        <f t="shared" ref="I15:I18" si="3">AVERAGE(B15:H15)</f>
        <v>0.19742857142857145</v>
      </c>
      <c r="J15" s="67">
        <f t="shared" ref="J15:J18" si="4">MEDIAN(B15:H15)</f>
        <v>0.2046</v>
      </c>
      <c r="K15" s="68"/>
      <c r="L15" s="69"/>
    </row>
    <row r="16" spans="1:17" x14ac:dyDescent="0.2">
      <c r="A16" s="61" t="s">
        <v>88</v>
      </c>
      <c r="B16" s="66">
        <v>6.55</v>
      </c>
      <c r="C16" s="66">
        <v>4.99</v>
      </c>
      <c r="D16" s="66">
        <v>6.19</v>
      </c>
      <c r="E16" s="66">
        <v>5.48</v>
      </c>
      <c r="F16" s="66">
        <v>3.18</v>
      </c>
      <c r="G16" s="66">
        <v>3.36</v>
      </c>
      <c r="H16" s="66">
        <v>4.5999999999999996</v>
      </c>
      <c r="I16" s="67">
        <f t="shared" si="3"/>
        <v>4.9071428571428575</v>
      </c>
      <c r="J16" s="67">
        <f t="shared" si="4"/>
        <v>4.99</v>
      </c>
      <c r="K16" s="75">
        <f>I16</f>
        <v>4.9071428571428575</v>
      </c>
      <c r="L16" s="28"/>
    </row>
    <row r="17" spans="1:26" x14ac:dyDescent="0.2">
      <c r="A17" s="61" t="s">
        <v>89</v>
      </c>
      <c r="B17" s="129">
        <v>2.98E-2</v>
      </c>
      <c r="C17" s="129">
        <v>3.7499999999999999E-2</v>
      </c>
      <c r="D17" s="129">
        <v>4.0300000000000002E-2</v>
      </c>
      <c r="E17" s="129">
        <v>2.6200000000000001E-2</v>
      </c>
      <c r="F17" s="129">
        <v>3.0099999999999998E-2</v>
      </c>
      <c r="G17" s="129">
        <v>3.5999999999999997E-2</v>
      </c>
      <c r="H17" s="129">
        <v>4.0599999999999997E-2</v>
      </c>
      <c r="I17" s="67">
        <f t="shared" si="3"/>
        <v>3.4357142857142857E-2</v>
      </c>
      <c r="J17" s="67">
        <f t="shared" si="4"/>
        <v>3.5999999999999997E-2</v>
      </c>
      <c r="K17" s="63">
        <f>J17</f>
        <v>3.5999999999999997E-2</v>
      </c>
      <c r="L17" s="64"/>
    </row>
    <row r="18" spans="1:26" ht="15" customHeight="1" x14ac:dyDescent="0.2">
      <c r="A18" s="70" t="s">
        <v>90</v>
      </c>
      <c r="B18" s="71">
        <v>250</v>
      </c>
      <c r="C18" s="71">
        <v>250</v>
      </c>
      <c r="D18" s="71">
        <v>251</v>
      </c>
      <c r="E18" s="71">
        <v>250</v>
      </c>
      <c r="F18" s="71">
        <v>248</v>
      </c>
      <c r="G18" s="71">
        <v>249</v>
      </c>
      <c r="H18" s="71">
        <v>251</v>
      </c>
      <c r="I18" s="67">
        <f t="shared" si="3"/>
        <v>249.85714285714286</v>
      </c>
      <c r="J18" s="67">
        <f t="shared" si="4"/>
        <v>250</v>
      </c>
      <c r="K18" s="68">
        <v>250</v>
      </c>
      <c r="L18" s="72" t="s">
        <v>151</v>
      </c>
    </row>
    <row r="19" spans="1:26" ht="15.75" customHeight="1" x14ac:dyDescent="0.2">
      <c r="A19" s="57" t="s">
        <v>91</v>
      </c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22"/>
    </row>
    <row r="20" spans="1:26" ht="15.75" customHeight="1" x14ac:dyDescent="0.2">
      <c r="A20" s="61" t="s">
        <v>92</v>
      </c>
      <c r="B20" s="73">
        <f>'Balance Sheet '!B3/'Balance Sheet '!B14</f>
        <v>0.79692079849433828</v>
      </c>
      <c r="C20" s="73">
        <f>'Balance Sheet '!C3/'Balance Sheet '!C14</f>
        <v>0.40294401850767742</v>
      </c>
      <c r="D20" s="73">
        <f>'Balance Sheet '!D3/'Balance Sheet '!D14</f>
        <v>0.67780539154385566</v>
      </c>
      <c r="E20" s="73">
        <f>'Balance Sheet '!E3/'Balance Sheet '!E14</f>
        <v>0.43713826150160179</v>
      </c>
      <c r="F20" s="73">
        <f>'Balance Sheet '!F3/'Balance Sheet '!F14</f>
        <v>0.50246370146508113</v>
      </c>
      <c r="G20" s="73">
        <f>'Balance Sheet '!G3/'Balance Sheet '!G14</f>
        <v>0.15189501005353462</v>
      </c>
      <c r="H20" s="73">
        <f>'Balance Sheet '!H3/'Balance Sheet '!H14</f>
        <v>0.23874772337759784</v>
      </c>
      <c r="I20" s="74">
        <f>AVERAGE(B20:H20)</f>
        <v>0.45827355784909812</v>
      </c>
      <c r="J20" s="74">
        <f>MEDIAN(B20:H20)</f>
        <v>0.43713826150160179</v>
      </c>
      <c r="K20" s="137">
        <f>AVERAGE(C20:H20)</f>
        <v>0.4018323510748914</v>
      </c>
    </row>
    <row r="21" spans="1:26" ht="15.75" customHeight="1" x14ac:dyDescent="0.2">
      <c r="A21" s="61" t="s">
        <v>93</v>
      </c>
      <c r="B21" s="73">
        <f>'Comprehensive Income '!B3/'Balance Sheet '!B9</f>
        <v>56.838474382634679</v>
      </c>
      <c r="C21" s="73">
        <f>'Comprehensive Income '!C3/'Balance Sheet '!C9</f>
        <v>63.104459021838416</v>
      </c>
      <c r="D21" s="73">
        <f>'Comprehensive Income '!D3/'Balance Sheet '!D9</f>
        <v>70.323018979395911</v>
      </c>
      <c r="E21" s="73">
        <f>'Comprehensive Income '!E3/'Balance Sheet '!E9</f>
        <v>44.322249589490973</v>
      </c>
      <c r="F21" s="73">
        <f>'Comprehensive Income '!F3/'Balance Sheet '!F9</f>
        <v>42.370493174418257</v>
      </c>
      <c r="G21" s="73">
        <f>'Comprehensive Income '!G3/'Balance Sheet '!G9</f>
        <v>27.4997954097385</v>
      </c>
      <c r="H21" s="73">
        <f>'Comprehensive Income '!H3/'Balance Sheet '!H9</f>
        <v>24.340465811829837</v>
      </c>
      <c r="I21" s="74">
        <f t="shared" ref="I21:I22" si="5">AVERAGE(B21:H21)</f>
        <v>46.97127948133523</v>
      </c>
      <c r="J21" s="74">
        <f t="shared" ref="J21:J22" si="6">MEDIAN(B21:H21)</f>
        <v>44.322249589490973</v>
      </c>
      <c r="K21" s="137">
        <f>J21</f>
        <v>44.322249589490973</v>
      </c>
    </row>
    <row r="22" spans="1:26" ht="15.75" customHeight="1" x14ac:dyDescent="0.2">
      <c r="A22" s="61" t="s">
        <v>94</v>
      </c>
      <c r="B22" s="73">
        <f>'Comprehensive Income '!B3/'Balance Sheet '!B15</f>
        <v>1.4522655265870137</v>
      </c>
      <c r="C22" s="73">
        <f>'Comprehensive Income '!C3/'Balance Sheet '!C15</f>
        <v>1.4908124692261366</v>
      </c>
      <c r="D22" s="73">
        <f>'Comprehensive Income '!D3/'Balance Sheet '!D15</f>
        <v>1.5046986080363818</v>
      </c>
      <c r="E22" s="73">
        <f>'Comprehensive Income '!E3/'Balance Sheet '!E15</f>
        <v>1.5411333437143153</v>
      </c>
      <c r="F22" s="73">
        <f>'Comprehensive Income '!F3/'Balance Sheet '!F15</f>
        <v>1.2029297325535637</v>
      </c>
      <c r="G22" s="73">
        <f>'Comprehensive Income '!G3/'Balance Sheet '!G15</f>
        <v>1.0754277551329163</v>
      </c>
      <c r="H22" s="73">
        <f>'Comprehensive Income '!H3/'Balance Sheet '!H15</f>
        <v>1.1408739731155173</v>
      </c>
      <c r="I22" s="74">
        <f t="shared" si="5"/>
        <v>1.3440202011951208</v>
      </c>
      <c r="J22" s="74">
        <f t="shared" si="6"/>
        <v>1.4522655265870137</v>
      </c>
      <c r="K22" s="137">
        <f>I22</f>
        <v>1.3440202011951208</v>
      </c>
    </row>
    <row r="23" spans="1:26" ht="15.75" customHeight="1" x14ac:dyDescent="0.2">
      <c r="A23" s="57" t="s">
        <v>95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22"/>
    </row>
    <row r="24" spans="1:26" ht="15.75" customHeight="1" x14ac:dyDescent="0.2">
      <c r="A24" s="57" t="s">
        <v>96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22"/>
    </row>
    <row r="25" spans="1:26" ht="15.75" customHeight="1" x14ac:dyDescent="0.2">
      <c r="A25" s="57" t="s">
        <v>69</v>
      </c>
      <c r="B25" s="57">
        <v>2018</v>
      </c>
      <c r="C25" s="57">
        <v>2019</v>
      </c>
      <c r="D25" s="57">
        <v>2020</v>
      </c>
      <c r="E25" s="15">
        <v>2021</v>
      </c>
      <c r="F25" s="15">
        <v>2022</v>
      </c>
      <c r="G25" s="15">
        <v>2023</v>
      </c>
      <c r="H25" s="15">
        <v>2024</v>
      </c>
      <c r="I25" s="58" t="s">
        <v>70</v>
      </c>
      <c r="J25" s="15" t="s">
        <v>71</v>
      </c>
      <c r="K25" s="59" t="s">
        <v>72</v>
      </c>
      <c r="L25" s="22"/>
    </row>
    <row r="26" spans="1:26" ht="15.75" customHeight="1" x14ac:dyDescent="0.2">
      <c r="A26" s="61" t="s">
        <v>97</v>
      </c>
      <c r="B26" s="65">
        <f>'Balance Sheet '!B8/'Balance Sheet '!B14</f>
        <v>2.4351686155934713</v>
      </c>
      <c r="C26" s="65">
        <f>'Balance Sheet '!C8/'Balance Sheet '!C14</f>
        <v>2.5955042707312086</v>
      </c>
      <c r="D26" s="65">
        <f>'Balance Sheet '!D8/'Balance Sheet '!D14</f>
        <v>2.3392272014943094</v>
      </c>
      <c r="E26" s="65">
        <f>'Balance Sheet '!E8/'Balance Sheet '!E14</f>
        <v>1.5932107572616903</v>
      </c>
      <c r="F26" s="65">
        <f>'Balance Sheet '!F8/'Balance Sheet '!F14</f>
        <v>2.521307284791944</v>
      </c>
      <c r="G26" s="65">
        <f>'Balance Sheet '!G8/'Balance Sheet '!G14</f>
        <v>1.481530014403448</v>
      </c>
      <c r="H26" s="65">
        <f>'Balance Sheet '!H8/'Balance Sheet '!H14</f>
        <v>1.3239674835069426</v>
      </c>
      <c r="I26" s="75">
        <f>AVERAGE(B26:H26)</f>
        <v>2.0414165182547164</v>
      </c>
      <c r="J26" s="75">
        <f>MEDIAN(B26:H26)</f>
        <v>2.3392272014943094</v>
      </c>
      <c r="K26" s="136">
        <f>I26</f>
        <v>2.0414165182547164</v>
      </c>
      <c r="L26" s="28"/>
    </row>
    <row r="27" spans="1:26" ht="15.75" customHeight="1" x14ac:dyDescent="0.2">
      <c r="A27" s="61" t="s">
        <v>98</v>
      </c>
      <c r="B27" s="65">
        <f>('Balance Sheet '!B8-'Balance Sheet '!B5)/'Balance Sheet '!B21</f>
        <v>1.9856067499379604</v>
      </c>
      <c r="C27" s="65">
        <f>('Balance Sheet '!C8-'Balance Sheet '!C5)/'Balance Sheet '!C21</f>
        <v>1.503926080892608</v>
      </c>
      <c r="D27" s="65">
        <f>('Balance Sheet '!D8-'Balance Sheet '!D5)/'Balance Sheet '!D21</f>
        <v>1.595409796327617</v>
      </c>
      <c r="E27" s="65">
        <f>('Balance Sheet '!E8-'Balance Sheet '!E5)/'Balance Sheet '!E21</f>
        <v>1.1721204098865741</v>
      </c>
      <c r="F27" s="65">
        <f>('Balance Sheet '!F8-'Balance Sheet '!F5)/'Balance Sheet '!F21</f>
        <v>1.1611780650238266</v>
      </c>
      <c r="G27" s="65">
        <f>('Balance Sheet '!G8-'Balance Sheet '!G5)/'Balance Sheet '!G21</f>
        <v>1.184643163482217</v>
      </c>
      <c r="H27" s="65">
        <f>('Balance Sheet '!H8-'Balance Sheet '!H5)/'Balance Sheet '!H21</f>
        <v>1.2760102265464095</v>
      </c>
      <c r="I27" s="75">
        <f t="shared" ref="I27:I52" si="7">AVERAGE(B27:H27)</f>
        <v>1.4112706417281733</v>
      </c>
      <c r="J27" s="75">
        <f t="shared" ref="J27:J29" si="8">MEDIAN(B27:H27)</f>
        <v>1.2760102265464095</v>
      </c>
      <c r="K27" s="136">
        <f>J27</f>
        <v>1.2760102265464095</v>
      </c>
      <c r="L27" s="28"/>
    </row>
    <row r="28" spans="1:26" ht="15.75" customHeight="1" x14ac:dyDescent="0.2">
      <c r="A28" s="61" t="s">
        <v>99</v>
      </c>
      <c r="B28" s="65">
        <f>'Balance Sheet '!B3/'Balance Sheet '!B21</f>
        <v>0.94958686041488605</v>
      </c>
      <c r="C28" s="65">
        <f>'Balance Sheet '!C3/'Balance Sheet '!C21</f>
        <v>0.39838912133891208</v>
      </c>
      <c r="D28" s="65">
        <f>'Balance Sheet '!D3/'Balance Sheet '!D21</f>
        <v>0.70768578149704986</v>
      </c>
      <c r="E28" s="65">
        <f>'Balance Sheet '!E3/'Balance Sheet '!E21</f>
        <v>0.5929525070178242</v>
      </c>
      <c r="F28" s="65">
        <f>'Balance Sheet '!F3/'Balance Sheet '!F21</f>
        <v>0.49039215400533359</v>
      </c>
      <c r="G28" s="65">
        <f>'Balance Sheet '!G3/'Balance Sheet '!G21</f>
        <v>0.26153611874246363</v>
      </c>
      <c r="H28" s="65">
        <f>'Balance Sheet '!H3/'Balance Sheet '!H21</f>
        <v>0.40767701157588238</v>
      </c>
      <c r="I28" s="75">
        <f t="shared" si="7"/>
        <v>0.54403136494176463</v>
      </c>
      <c r="J28" s="75">
        <f t="shared" si="8"/>
        <v>0.49039215400533359</v>
      </c>
      <c r="K28" s="136">
        <f>I28</f>
        <v>0.54403136494176463</v>
      </c>
      <c r="L28" s="28"/>
    </row>
    <row r="29" spans="1:26" ht="15.75" customHeight="1" x14ac:dyDescent="0.2">
      <c r="A29" s="61" t="s">
        <v>100</v>
      </c>
      <c r="B29" s="65">
        <f>'Balance Sheet '!B3/'Comprehensive Income '!B3</f>
        <v>0.15974271953491609</v>
      </c>
      <c r="C29" s="65">
        <f>'Balance Sheet '!C3/'Comprehensive Income '!C3</f>
        <v>7.5173000932935247E-2</v>
      </c>
      <c r="D29" s="65">
        <f>'Balance Sheet '!D3/'Comprehensive Income '!D3</f>
        <v>0.13489924851193599</v>
      </c>
      <c r="E29" s="65">
        <f>'Balance Sheet '!E3/'Comprehensive Income '!E3</f>
        <v>0.10938072291794193</v>
      </c>
      <c r="F29" s="65">
        <f>'Balance Sheet '!F3/'Comprehensive Income '!F3</f>
        <v>0.11862070715865422</v>
      </c>
      <c r="G29" s="65">
        <f>'Balance Sheet '!G3/'Comprehensive Income '!G3</f>
        <v>5.6917096027605349E-2</v>
      </c>
      <c r="H29" s="65">
        <f>'Balance Sheet '!H3/'Comprehensive Income '!H3</f>
        <v>9.0047470805421984E-2</v>
      </c>
      <c r="I29" s="75">
        <f t="shared" si="7"/>
        <v>0.10639728084134439</v>
      </c>
      <c r="J29" s="75">
        <f t="shared" si="8"/>
        <v>0.10938072291794193</v>
      </c>
      <c r="K29" s="136">
        <f>I29</f>
        <v>0.10639728084134439</v>
      </c>
      <c r="L29" s="28"/>
    </row>
    <row r="30" spans="1:26" ht="15.75" customHeight="1" x14ac:dyDescent="0.2">
      <c r="A30" s="57" t="s">
        <v>96</v>
      </c>
      <c r="B30" s="57"/>
      <c r="C30" s="57"/>
      <c r="D30" s="57"/>
      <c r="E30" s="57"/>
      <c r="F30" s="57"/>
      <c r="G30" s="57"/>
      <c r="H30" s="57"/>
      <c r="I30" s="135"/>
      <c r="J30" s="57"/>
      <c r="K30" s="57"/>
      <c r="L30" s="22"/>
    </row>
    <row r="31" spans="1:26" ht="15.75" customHeight="1" x14ac:dyDescent="0.2">
      <c r="A31" s="61" t="s">
        <v>101</v>
      </c>
      <c r="B31" s="73">
        <f>'Balance Sheet '!B15/'Balance Sheet '!B29</f>
        <v>1.5723657033911769</v>
      </c>
      <c r="C31" s="73">
        <f>'Balance Sheet '!C15/'Balance Sheet '!C29</f>
        <v>1.6426345723170122</v>
      </c>
      <c r="D31" s="73">
        <f>'Balance Sheet '!D15/'Balance Sheet '!D29</f>
        <v>1.5246276045995621</v>
      </c>
      <c r="E31" s="73">
        <f>'Balance Sheet '!E15/'Balance Sheet '!E29</f>
        <v>1.5215455541625125</v>
      </c>
      <c r="F31" s="73">
        <f>'Balance Sheet '!F15/'Balance Sheet '!F29</f>
        <v>1.9191396071397764</v>
      </c>
      <c r="G31" s="73">
        <f>'Balance Sheet '!G15/'Balance Sheet '!G29</f>
        <v>1.7863131594641262</v>
      </c>
      <c r="H31" s="73">
        <f>'Balance Sheet '!H15/'Balance Sheet '!H29</f>
        <v>1.5810526588808955</v>
      </c>
      <c r="I31" s="75">
        <f t="shared" si="7"/>
        <v>1.6496684085650091</v>
      </c>
      <c r="J31" s="75">
        <f>MEDIAN(B31:H31)</f>
        <v>1.5810526588808955</v>
      </c>
      <c r="K31" s="136">
        <f>J31</f>
        <v>1.5810526588808955</v>
      </c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spans="1:26" ht="15.75" customHeight="1" x14ac:dyDescent="0.2">
      <c r="A32" s="61" t="s">
        <v>102</v>
      </c>
      <c r="B32" s="73">
        <v>16</v>
      </c>
      <c r="C32" s="73">
        <v>15.24</v>
      </c>
      <c r="D32" s="73">
        <v>5.71</v>
      </c>
      <c r="E32" s="73">
        <v>7.64</v>
      </c>
      <c r="F32" s="73">
        <v>36.159999999999997</v>
      </c>
      <c r="G32" s="73">
        <v>36.44</v>
      </c>
      <c r="H32" s="73">
        <v>18.39</v>
      </c>
      <c r="I32" s="75">
        <f t="shared" si="7"/>
        <v>19.368571428571425</v>
      </c>
      <c r="J32" s="75">
        <f t="shared" ref="J32:J34" si="9">MEDIAN(B32:H32)</f>
        <v>16</v>
      </c>
      <c r="K32" s="136">
        <f>J32</f>
        <v>16</v>
      </c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spans="1:26" ht="15.75" customHeight="1" x14ac:dyDescent="0.2">
      <c r="A33" s="61" t="s">
        <v>103</v>
      </c>
      <c r="B33" s="65">
        <v>-20.47</v>
      </c>
      <c r="C33" s="65">
        <v>-3.17</v>
      </c>
      <c r="D33" s="65">
        <v>-24.42</v>
      </c>
      <c r="E33" s="65">
        <v>-18</v>
      </c>
      <c r="F33" s="73">
        <v>8.77</v>
      </c>
      <c r="G33" s="73">
        <v>25.51</v>
      </c>
      <c r="H33" s="73">
        <v>2.15</v>
      </c>
      <c r="I33" s="75">
        <f t="shared" si="7"/>
        <v>-4.232857142857144</v>
      </c>
      <c r="J33" s="75">
        <f t="shared" si="9"/>
        <v>-3.17</v>
      </c>
      <c r="K33" s="137">
        <f>H33</f>
        <v>2.15</v>
      </c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spans="1:26" ht="15.75" customHeight="1" x14ac:dyDescent="0.2">
      <c r="A34" s="61" t="s">
        <v>104</v>
      </c>
      <c r="B34" s="73">
        <v>34.49</v>
      </c>
      <c r="C34" s="73">
        <v>32.08</v>
      </c>
      <c r="D34" s="73">
        <v>10.01</v>
      </c>
      <c r="E34" s="73">
        <v>15.11</v>
      </c>
      <c r="F34" s="73">
        <v>18.34</v>
      </c>
      <c r="G34" s="73">
        <v>8.18</v>
      </c>
      <c r="H34" s="73">
        <v>9.27</v>
      </c>
      <c r="I34" s="75">
        <f t="shared" si="7"/>
        <v>18.211428571428574</v>
      </c>
      <c r="J34" s="75">
        <f t="shared" si="9"/>
        <v>15.11</v>
      </c>
      <c r="K34" s="137">
        <f>J34</f>
        <v>15.11</v>
      </c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spans="1:26" ht="15.75" customHeight="1" x14ac:dyDescent="0.2">
      <c r="A35" s="57" t="s">
        <v>105</v>
      </c>
      <c r="B35" s="57"/>
      <c r="C35" s="57"/>
      <c r="D35" s="57"/>
      <c r="E35" s="57"/>
      <c r="F35" s="57"/>
      <c r="G35" s="57"/>
      <c r="H35" s="57"/>
      <c r="I35" s="135"/>
      <c r="J35" s="57"/>
      <c r="K35" s="57"/>
      <c r="L35" s="22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spans="1:26" ht="15.75" customHeight="1" x14ac:dyDescent="0.2">
      <c r="A36" s="61" t="s">
        <v>106</v>
      </c>
      <c r="B36" s="62">
        <f>-'Comprehensive Income '!B10 / SUM('Balance Sheet '!B20, 'Balance Sheet '!B24)</f>
        <v>5.5595747013043963E-2</v>
      </c>
      <c r="C36" s="62">
        <f>-'Comprehensive Income '!C10 / SUM('Balance Sheet '!C20, 'Balance Sheet '!C24)</f>
        <v>6.354325926236204E-2</v>
      </c>
      <c r="D36" s="62">
        <f>-'Comprehensive Income '!D10 / SUM('Balance Sheet '!D20, 'Balance Sheet '!D24)</f>
        <v>8.0472440944881889</v>
      </c>
      <c r="E36" s="62">
        <f>-'Comprehensive Income '!E10 / SUM('Balance Sheet '!E20, 'Balance Sheet '!E24)</f>
        <v>14.420127795527156</v>
      </c>
      <c r="F36" s="62">
        <f>-'Comprehensive Income '!F10 / SUM('Balance Sheet '!F20, 'Balance Sheet '!F24)</f>
        <v>4.9380642695405923E-2</v>
      </c>
      <c r="G36" s="62">
        <f>-'Comprehensive Income '!G10 / SUM('Balance Sheet '!G20, 'Balance Sheet '!G24)</f>
        <v>0.10165558912386707</v>
      </c>
      <c r="H36" s="62">
        <f>-'Comprehensive Income '!H10 / SUM('Balance Sheet '!H20, 'Balance Sheet '!H24)</f>
        <v>0.23735081127848959</v>
      </c>
      <c r="I36" s="75">
        <f>AVERAGE(B36,C36,F36,G36)</f>
        <v>6.7543809523669757E-2</v>
      </c>
      <c r="J36" s="76">
        <f>MEDIAN(B36:C36,F36:H36)</f>
        <v>6.354325926236204E-2</v>
      </c>
      <c r="K36" s="77">
        <f>I36</f>
        <v>6.7543809523669757E-2</v>
      </c>
      <c r="L36" s="78"/>
    </row>
    <row r="37" spans="1:26" ht="15.75" customHeight="1" x14ac:dyDescent="0.2">
      <c r="A37" s="61" t="s">
        <v>107</v>
      </c>
      <c r="B37" s="62">
        <f>-'Comprehensive Income '!B12/'Comprehensive Income '!B11</f>
        <v>0.30642504118616148</v>
      </c>
      <c r="C37" s="62">
        <f>-'Comprehensive Income '!C12/'Comprehensive Income '!C11</f>
        <v>0.28550222137396497</v>
      </c>
      <c r="D37" s="62">
        <f>-'Comprehensive Income '!D12/'Comprehensive Income '!D11</f>
        <v>0.36001626457034391</v>
      </c>
      <c r="E37" s="62">
        <f>-'Comprehensive Income '!E12/'Comprehensive Income '!E11</f>
        <v>0.28598227671247906</v>
      </c>
      <c r="F37" s="62">
        <f>-'Comprehensive Income '!F12/'Comprehensive Income '!F11</f>
        <v>0.28489386744591927</v>
      </c>
      <c r="G37" s="62">
        <f>-'Comprehensive Income '!G12/'Comprehensive Income '!G11</f>
        <v>0.27010219152134873</v>
      </c>
      <c r="H37" s="62">
        <f>-'Comprehensive Income '!H12/'Comprehensive Income '!H11</f>
        <v>0.28475378273491592</v>
      </c>
      <c r="I37" s="75">
        <f t="shared" si="7"/>
        <v>0.29681080650644759</v>
      </c>
      <c r="J37" s="76">
        <f t="shared" ref="J37:J38" si="10">MEDIAN(B37:H37)</f>
        <v>0.28550222137396497</v>
      </c>
      <c r="K37" s="77">
        <f>J37</f>
        <v>0.28550222137396497</v>
      </c>
      <c r="L37" s="78"/>
    </row>
    <row r="38" spans="1:26" ht="15.75" customHeight="1" x14ac:dyDescent="0.2">
      <c r="A38" s="61" t="s">
        <v>108</v>
      </c>
      <c r="B38" s="62">
        <f>'Comprehensive Income '!B17/'Comprehensive Income '!B16</f>
        <v>0.73333333333333328</v>
      </c>
      <c r="C38" s="62">
        <f>'Comprehensive Income '!C17/'Comprehensive Income '!C16</f>
        <v>0.7142857142857143</v>
      </c>
      <c r="D38" s="62">
        <f>'Comprehensive Income '!D17/'Comprehensive Income '!D16</f>
        <v>0.81188118811881194</v>
      </c>
      <c r="E38" s="62">
        <f>'Comprehensive Income '!E17/'Comprehensive Income '!E16</f>
        <v>0.19756838905775076</v>
      </c>
      <c r="F38" s="62">
        <f>'Comprehensive Income '!F17/'Comprehensive Income '!F16</f>
        <v>0.19762845849802371</v>
      </c>
      <c r="G38" s="62">
        <f>'Comprehensive Income '!G17/'Comprehensive Income '!G16</f>
        <v>0.39507772020725385</v>
      </c>
      <c r="H38" s="62">
        <f>'Comprehensive Income '!H17/'Comprehensive Income '!H16</f>
        <v>0.39903264812575573</v>
      </c>
      <c r="I38" s="75">
        <f t="shared" si="7"/>
        <v>0.49268677880380629</v>
      </c>
      <c r="J38" s="76">
        <f t="shared" si="10"/>
        <v>0.39903264812575573</v>
      </c>
      <c r="K38" s="77">
        <f>J38</f>
        <v>0.39903264812575573</v>
      </c>
      <c r="L38" s="78"/>
    </row>
    <row r="39" spans="1:26" ht="15.75" customHeight="1" x14ac:dyDescent="0.2">
      <c r="A39" s="14" t="s">
        <v>109</v>
      </c>
      <c r="B39" s="57"/>
      <c r="C39" s="57"/>
      <c r="D39" s="57"/>
      <c r="E39" s="57"/>
      <c r="F39" s="57"/>
      <c r="G39" s="57"/>
      <c r="H39" s="57"/>
      <c r="I39" s="135"/>
      <c r="J39" s="57"/>
      <c r="K39" s="57"/>
      <c r="L39" s="57"/>
    </row>
    <row r="40" spans="1:26" ht="15.75" customHeight="1" x14ac:dyDescent="0.2">
      <c r="A40" s="61" t="s">
        <v>110</v>
      </c>
      <c r="B40" s="62" t="str">
        <f>IFERROR(('[1]Adjusted Income'!B3-'[1]Adjusted Income'!#REF!)/'[1]Adjusted Income'!#REF!,"")</f>
        <v/>
      </c>
      <c r="C40" s="62">
        <f>('Comprehensive Income '!C3-'Comprehensive Income '!B3)/'Comprehensive Income '!B3</f>
        <v>0.17502802408912047</v>
      </c>
      <c r="D40" s="62">
        <f>('Comprehensive Income '!D3-'Comprehensive Income '!C3)/'Comprehensive Income '!C3</f>
        <v>0.2530070384635123</v>
      </c>
      <c r="E40" s="62">
        <f>('Comprehensive Income '!E3-'Comprehensive Income '!D3)/'Comprehensive Income '!D3</f>
        <v>0.24722130042300089</v>
      </c>
      <c r="F40" s="62">
        <f>('Comprehensive Income '!F3-'Comprehensive Income '!E3)/'Comprehensive Income '!E3</f>
        <v>0.19431335088607063</v>
      </c>
      <c r="G40" s="62">
        <f>('Comprehensive Income '!G3-'Comprehensive Income '!F3)/'Comprehensive Income '!F3</f>
        <v>4.2382566162614335E-2</v>
      </c>
      <c r="H40" s="62">
        <f>('Comprehensive Income '!H3-'Comprehensive Income '!G3)/'Comprehensive Income '!G3</f>
        <v>3.4790071921620619E-2</v>
      </c>
      <c r="I40" s="75">
        <f t="shared" si="7"/>
        <v>0.15779039199098988</v>
      </c>
      <c r="J40" s="76">
        <f>MEDIAN(B40:H40)</f>
        <v>0.18467068748759555</v>
      </c>
      <c r="K40" s="77">
        <v>0.08</v>
      </c>
      <c r="L40" s="28"/>
    </row>
    <row r="41" spans="1:26" ht="15.75" customHeight="1" x14ac:dyDescent="0.2">
      <c r="A41" s="61" t="s">
        <v>111</v>
      </c>
      <c r="B41" s="79">
        <f>-'Comprehensive Income '!B8/'Comprehensive Income '!B3</f>
        <v>0.20523374023022273</v>
      </c>
      <c r="C41" s="79">
        <f>-'Comprehensive Income '!C8/'Comprehensive Income '!C3</f>
        <v>0.20728005294966756</v>
      </c>
      <c r="D41" s="79">
        <f>-'Comprehensive Income '!D8/'Comprehensive Income '!D3</f>
        <v>0.22401401321510031</v>
      </c>
      <c r="E41" s="79">
        <f>-'Comprehensive Income '!E8/'Comprehensive Income '!E3</f>
        <v>0.21104879430880411</v>
      </c>
      <c r="F41" s="79">
        <f>-'Comprehensive Income '!F8/'Comprehensive Income '!F3</f>
        <v>0.21115988937118815</v>
      </c>
      <c r="G41" s="79">
        <f>-'Comprehensive Income '!G8/'Comprehensive Income '!G3</f>
        <v>0.20260132534895581</v>
      </c>
      <c r="H41" s="79">
        <f>-'Comprehensive Income '!H8/'Comprehensive Income '!H3</f>
        <v>0.20370550714937913</v>
      </c>
      <c r="I41" s="75">
        <f t="shared" si="7"/>
        <v>0.20929190322475971</v>
      </c>
      <c r="J41" s="76">
        <f t="shared" ref="J41:J52" si="11">MEDIAN(B41:H41)</f>
        <v>0.20728005294966756</v>
      </c>
      <c r="K41" s="77">
        <f>I41</f>
        <v>0.20929190322475971</v>
      </c>
      <c r="L41" s="80"/>
    </row>
    <row r="42" spans="1:26" ht="15.75" customHeight="1" x14ac:dyDescent="0.2">
      <c r="A42" s="61" t="s">
        <v>112</v>
      </c>
      <c r="B42" s="129">
        <v>8.5599999999999996E-2</v>
      </c>
      <c r="C42" s="129">
        <v>0.1038</v>
      </c>
      <c r="D42" s="129">
        <v>0.1757</v>
      </c>
      <c r="E42" s="129">
        <v>0.13120000000000001</v>
      </c>
      <c r="F42" s="129">
        <v>0.1249</v>
      </c>
      <c r="G42" s="129">
        <v>0.15110000000000001</v>
      </c>
      <c r="H42" s="129">
        <v>0.17480000000000001</v>
      </c>
      <c r="I42" s="75">
        <f t="shared" si="7"/>
        <v>0.1353</v>
      </c>
      <c r="J42" s="76">
        <f t="shared" si="11"/>
        <v>0.13120000000000001</v>
      </c>
      <c r="K42" s="77">
        <f>I42</f>
        <v>0.1353</v>
      </c>
      <c r="L42" s="28"/>
    </row>
    <row r="43" spans="1:26" ht="15.75" customHeight="1" x14ac:dyDescent="0.2">
      <c r="A43" s="61" t="s">
        <v>100</v>
      </c>
      <c r="B43" s="62">
        <f>'Balance Sheet '!B3/'Comprehensive Income '!B3</f>
        <v>0.15974271953491609</v>
      </c>
      <c r="C43" s="62">
        <f>'Balance Sheet '!C3/'Comprehensive Income '!C3</f>
        <v>7.5173000932935247E-2</v>
      </c>
      <c r="D43" s="62">
        <f>'Balance Sheet '!D3/'Comprehensive Income '!D3</f>
        <v>0.13489924851193599</v>
      </c>
      <c r="E43" s="62">
        <f>'Balance Sheet '!E3/'Comprehensive Income '!E3</f>
        <v>0.10938072291794193</v>
      </c>
      <c r="F43" s="62">
        <f>'Balance Sheet '!F3/'Comprehensive Income '!F3</f>
        <v>0.11862070715865422</v>
      </c>
      <c r="G43" s="62">
        <f>'Balance Sheet '!G3/'Comprehensive Income '!G3</f>
        <v>5.6917096027605349E-2</v>
      </c>
      <c r="H43" s="62">
        <f>'Balance Sheet '!H3/'Comprehensive Income '!H3</f>
        <v>9.0047470805421984E-2</v>
      </c>
      <c r="I43" s="75">
        <f t="shared" si="7"/>
        <v>0.10639728084134439</v>
      </c>
      <c r="J43" s="76">
        <f t="shared" si="11"/>
        <v>0.10938072291794193</v>
      </c>
      <c r="K43" s="81">
        <f>J43</f>
        <v>0.10938072291794193</v>
      </c>
      <c r="L43" s="78"/>
    </row>
    <row r="44" spans="1:26" ht="15.75" customHeight="1" x14ac:dyDescent="0.2">
      <c r="A44" s="61" t="s">
        <v>113</v>
      </c>
      <c r="B44" s="62">
        <f>'Balance Sheet '!B4/'Comprehensive Income '!B3</f>
        <v>0.16144967646672284</v>
      </c>
      <c r="C44" s="62">
        <f>'Balance Sheet '!C4/'Comprehensive Income '!C3</f>
        <v>0.20342330653831023</v>
      </c>
      <c r="D44" s="62">
        <f>'Balance Sheet '!D4/'Comprehensive Income '!D3</f>
        <v>0.16393487383485744</v>
      </c>
      <c r="E44" s="62">
        <f>'Balance Sheet '!E4/'Comprehensive Income '!E3</f>
        <v>0.10047917794585819</v>
      </c>
      <c r="F44" s="62">
        <f>'Balance Sheet '!F4/'Comprehensive Income '!F3</f>
        <v>0.13691267218776726</v>
      </c>
      <c r="G44" s="62">
        <f>'Balance Sheet '!G4/'Comprehensive Income '!G3</f>
        <v>0.18717814838010649</v>
      </c>
      <c r="H44" s="62">
        <f>'Balance Sheet '!H4/'Comprehensive Income '!H3</f>
        <v>0.18432567992141141</v>
      </c>
      <c r="I44" s="75">
        <f t="shared" si="7"/>
        <v>0.16252907646786197</v>
      </c>
      <c r="J44" s="76">
        <f t="shared" si="11"/>
        <v>0.16393487383485744</v>
      </c>
      <c r="K44" s="81">
        <f>J44</f>
        <v>0.16393487383485744</v>
      </c>
      <c r="L44" s="78"/>
    </row>
    <row r="45" spans="1:26" ht="15.75" customHeight="1" x14ac:dyDescent="0.2">
      <c r="A45" s="61" t="s">
        <v>115</v>
      </c>
      <c r="B45" s="62">
        <f>'Balance Sheet '!B17/'Comprehensive Income '!B3</f>
        <v>0.13078165948992293</v>
      </c>
      <c r="C45" s="62">
        <f>'Balance Sheet '!C17/'Comprehensive Income '!C3</f>
        <v>0.1614543789401382</v>
      </c>
      <c r="D45" s="62">
        <f>'Balance Sheet '!D17/'Comprehensive Income '!D3</f>
        <v>0.15530788327361472</v>
      </c>
      <c r="E45" s="62">
        <f>'Balance Sheet '!E17/'Comprehensive Income '!E3</f>
        <v>0.14801891788804697</v>
      </c>
      <c r="F45" s="62">
        <f>'Balance Sheet '!F17/'Comprehensive Income '!F3</f>
        <v>0.20605215458987605</v>
      </c>
      <c r="G45" s="62">
        <f>'Balance Sheet '!G17/'Comprehensive Income '!G3</f>
        <v>0.17675106894979825</v>
      </c>
      <c r="H45" s="62">
        <f>'Balance Sheet '!H17/'Comprehensive Income '!H3</f>
        <v>0.17860800670329866</v>
      </c>
      <c r="I45" s="75">
        <f t="shared" si="7"/>
        <v>0.16528200997638512</v>
      </c>
      <c r="J45" s="76">
        <f t="shared" si="11"/>
        <v>0.1614543789401382</v>
      </c>
      <c r="K45" s="81">
        <f>J45</f>
        <v>0.1614543789401382</v>
      </c>
      <c r="L45" s="78"/>
    </row>
    <row r="46" spans="1:26" ht="15.75" customHeight="1" x14ac:dyDescent="0.2">
      <c r="A46" s="61" t="s">
        <v>114</v>
      </c>
      <c r="B46" s="62">
        <f>'Balance Sheet '!B5/'Comprehensive Income '!B3</f>
        <v>0.15410388626471747</v>
      </c>
      <c r="C46" s="62">
        <f>'Balance Sheet '!C5/'Comprehensive Income '!C3</f>
        <v>0.2004363347355872</v>
      </c>
      <c r="D46" s="62">
        <f>'Balance Sheet '!D5/'Comprehensive Income '!D3</f>
        <v>0.16144391563506832</v>
      </c>
      <c r="E46" s="62">
        <f>'Balance Sheet '!E5/'Comprehensive Income '!E3</f>
        <v>0.18243452034632834</v>
      </c>
      <c r="F46" s="62">
        <f>'Balance Sheet '!F5/'Comprehensive Income '!F3</f>
        <v>0.31434882197799413</v>
      </c>
      <c r="G46" s="62">
        <f>'Balance Sheet '!G5/'Comprehensive Income '!G3</f>
        <v>0.29733983337774605</v>
      </c>
      <c r="H46" s="62">
        <f>'Balance Sheet '!H5/'Comprehensive Income '!H3</f>
        <v>0.21751079906901538</v>
      </c>
      <c r="I46" s="75">
        <f t="shared" si="7"/>
        <v>0.21823115877235097</v>
      </c>
      <c r="J46" s="76">
        <f t="shared" si="11"/>
        <v>0.2004363347355872</v>
      </c>
      <c r="K46" s="81">
        <f>AVERAGE(B46:H46)</f>
        <v>0.21823115877235097</v>
      </c>
      <c r="L46" s="78"/>
    </row>
    <row r="47" spans="1:26" ht="15.75" customHeight="1" x14ac:dyDescent="0.2">
      <c r="A47" s="61" t="s">
        <v>1513</v>
      </c>
      <c r="B47" s="62">
        <f>'Balance Sheet '!B19/'Comprehensive Income '!B3</f>
        <v>3.6991797639018803E-2</v>
      </c>
      <c r="C47" s="62">
        <f>'Balance Sheet '!C19/'Comprehensive Income '!C3</f>
        <v>2.6627471982336077E-2</v>
      </c>
      <c r="D47" s="62">
        <f>'Balance Sheet '!D19/'Comprehensive Income '!D3</f>
        <v>2.6493209723558245E-2</v>
      </c>
      <c r="E47" s="62">
        <f>'Balance Sheet '!E19/'Comprehensive Income '!E3</f>
        <v>2.9851160981392805E-2</v>
      </c>
      <c r="F47" s="62">
        <f>'Balance Sheet '!F19/'Comprehensive Income '!F3</f>
        <v>2.7023406749823928E-2</v>
      </c>
      <c r="G47" s="62">
        <f>'Balance Sheet '!G19/'Comprehensive Income '!G3</f>
        <v>2.4337291705274208E-2</v>
      </c>
      <c r="H47" s="62">
        <f>'Balance Sheet '!H19/'Comprehensive Income '!H3</f>
        <v>2.5956327904768192E-2</v>
      </c>
      <c r="I47" s="75">
        <f t="shared" si="7"/>
        <v>2.8182952383738896E-2</v>
      </c>
      <c r="J47" s="76">
        <f t="shared" si="11"/>
        <v>2.6627471982336077E-2</v>
      </c>
      <c r="K47" s="81">
        <f>I47</f>
        <v>2.8182952383738896E-2</v>
      </c>
      <c r="L47" s="78"/>
    </row>
    <row r="48" spans="1:26" ht="15.75" customHeight="1" x14ac:dyDescent="0.2">
      <c r="A48" s="61" t="s">
        <v>116</v>
      </c>
      <c r="B48" s="62">
        <f>'Balance Sheet '!B9/'Comprehensive Income '!B3</f>
        <v>1.759371641941045E-2</v>
      </c>
      <c r="C48" s="62">
        <f>'Balance Sheet '!C9/'Comprehensive Income '!C3</f>
        <v>1.5846740713741519E-2</v>
      </c>
      <c r="D48" s="62">
        <f>'Balance Sheet '!D9/'Comprehensive Income '!D3</f>
        <v>1.4220094849639379E-2</v>
      </c>
      <c r="E48" s="62">
        <f>'Balance Sheet '!E9/'Comprehensive Income '!E3</f>
        <v>2.2562031694282617E-2</v>
      </c>
      <c r="F48" s="62">
        <f>'Balance Sheet '!F9/'Comprehensive Income '!F3</f>
        <v>2.3601330196547327E-2</v>
      </c>
      <c r="G48" s="62">
        <f>'Balance Sheet '!G9/'Comprehensive Income '!G3</f>
        <v>3.6363906898226238E-2</v>
      </c>
      <c r="H48" s="62">
        <f>'Balance Sheet '!H9/'Comprehensive Income '!H3</f>
        <v>4.1083848096037039E-2</v>
      </c>
      <c r="I48" s="75">
        <f t="shared" si="7"/>
        <v>2.446738126684065E-2</v>
      </c>
      <c r="J48" s="76">
        <f t="shared" si="11"/>
        <v>2.2562031694282617E-2</v>
      </c>
      <c r="K48" s="81">
        <f>AVERAGE(E48:H48)</f>
        <v>3.0902779221273304E-2</v>
      </c>
      <c r="L48" s="78"/>
    </row>
    <row r="49" spans="1:16" ht="15.75" customHeight="1" x14ac:dyDescent="0.2">
      <c r="A49" s="61" t="s">
        <v>117</v>
      </c>
      <c r="B49" s="62">
        <f>'Balance Sheet '!B10/'Comprehensive Income '!B3</f>
        <v>0.17407868391146705</v>
      </c>
      <c r="C49" s="62">
        <f>'Balance Sheet '!C10/'Comprehensive Income '!C3</f>
        <v>0.16239389341905636</v>
      </c>
      <c r="D49" s="62">
        <f>'Balance Sheet '!D10/'Comprehensive Income '!D3</f>
        <v>0.15123434749917036</v>
      </c>
      <c r="E49" s="62">
        <f>'Balance Sheet '!E10/'Comprehensive Income '!E3</f>
        <v>0.18308453857546653</v>
      </c>
      <c r="F49" s="62">
        <f>'Balance Sheet '!F10/'Comprehensive Income '!F3</f>
        <v>0.16993846043215174</v>
      </c>
      <c r="G49" s="62">
        <f>'Balance Sheet '!G10/'Comprehensive Income '!G3</f>
        <v>0.26987719082292566</v>
      </c>
      <c r="H49" s="62">
        <f>'Balance Sheet '!H10/'Comprehensive Income '!H3</f>
        <v>0.26816331839426716</v>
      </c>
      <c r="I49" s="75">
        <f t="shared" si="7"/>
        <v>0.1969672047220721</v>
      </c>
      <c r="J49" s="76">
        <f t="shared" si="11"/>
        <v>0.17407868391146705</v>
      </c>
      <c r="K49" s="81">
        <f>I49</f>
        <v>0.1969672047220721</v>
      </c>
      <c r="L49" s="78"/>
    </row>
    <row r="50" spans="1:16" ht="15.75" customHeight="1" x14ac:dyDescent="0.2">
      <c r="A50" s="61" t="s">
        <v>118</v>
      </c>
      <c r="B50" s="82" t="str">
        <f>IFERROR('Balance Sheet '!B18/'Comprehensive Income '!B3, "")</f>
        <v/>
      </c>
      <c r="C50" s="82" t="str">
        <f>IFERROR('Balance Sheet '!C18/'Comprehensive Income '!C3, "")</f>
        <v/>
      </c>
      <c r="D50" s="82">
        <f>IFERROR('Balance Sheet '!D18/'Comprehensive Income '!D3, "")</f>
        <v>7.7522147684837076E-3</v>
      </c>
      <c r="E50" s="82">
        <f>IFERROR('Balance Sheet '!E18/'Comprehensive Income '!E3, "")</f>
        <v>6.0707661037385308E-3</v>
      </c>
      <c r="F50" s="82">
        <f>IFERROR('Balance Sheet '!F18/'Comprehensive Income '!F3, "")</f>
        <v>8.5812764331443699E-3</v>
      </c>
      <c r="G50" s="82">
        <f>IFERROR('Balance Sheet '!G18/'Comprehensive Income '!G3, "")</f>
        <v>1.3375906459960204E-2</v>
      </c>
      <c r="H50" s="82">
        <f>IFERROR('Balance Sheet '!H18/'Comprehensive Income '!H3, "")</f>
        <v>1.4392222709515665E-2</v>
      </c>
      <c r="I50" s="75">
        <f t="shared" si="7"/>
        <v>1.0034477294968496E-2</v>
      </c>
      <c r="J50" s="76">
        <f t="shared" si="11"/>
        <v>8.5812764331443699E-3</v>
      </c>
      <c r="K50" s="77">
        <f>I50</f>
        <v>1.0034477294968496E-2</v>
      </c>
      <c r="L50" s="64"/>
      <c r="M50" s="82"/>
      <c r="N50" s="82"/>
      <c r="O50" s="82"/>
      <c r="P50" s="82"/>
    </row>
    <row r="51" spans="1:16" ht="15.75" customHeight="1" x14ac:dyDescent="0.2">
      <c r="A51" s="61" t="s">
        <v>119</v>
      </c>
      <c r="B51" s="82">
        <f>'Balance Sheet '!B7/'Comprehensive Income '!B3</f>
        <v>5.7532488616421733E-3</v>
      </c>
      <c r="C51" s="82">
        <f>'Balance Sheet '!C7/'Comprehensive Income '!C3</f>
        <v>2.6527467640042267E-3</v>
      </c>
      <c r="D51" s="82">
        <f>'Balance Sheet '!D7/'Comprehensive Income '!D3</f>
        <v>2.3554887192778319E-3</v>
      </c>
      <c r="E51" s="82">
        <f>'Balance Sheet '!E7/'Comprehensive Income '!E3</f>
        <v>2.2102303775747077E-3</v>
      </c>
      <c r="F51" s="82">
        <f>'Balance Sheet '!F7/'Comprehensive Income '!F3</f>
        <v>2.3606265205997873E-2</v>
      </c>
      <c r="G51" s="82">
        <f>'Balance Sheet '!G7/'Comprehensive Income '!G3</f>
        <v>1.0761189648805521E-2</v>
      </c>
      <c r="H51" s="82">
        <f>'Balance Sheet '!H7/'Comprehensive Income '!H3</f>
        <v>2.9418435247742965E-3</v>
      </c>
      <c r="I51" s="75">
        <f t="shared" si="7"/>
        <v>7.1830018717252342E-3</v>
      </c>
      <c r="J51" s="76">
        <f t="shared" si="11"/>
        <v>2.9418435247742965E-3</v>
      </c>
      <c r="K51" s="81">
        <f>J51</f>
        <v>2.9418435247742965E-3</v>
      </c>
      <c r="L51" s="28"/>
    </row>
    <row r="52" spans="1:16" ht="15.75" customHeight="1" x14ac:dyDescent="0.2">
      <c r="A52" s="61" t="s">
        <v>168</v>
      </c>
      <c r="B52" s="134">
        <f>(SUM('Balance Sheet '!B20,'Balance Sheet '!B24))/'Balance Sheet '!B15</f>
        <v>0.10242528893070378</v>
      </c>
      <c r="C52" s="134">
        <f>(SUM('Balance Sheet '!C20,'Balance Sheet '!C24))/'Balance Sheet '!C15</f>
        <v>9.3664360384253978E-2</v>
      </c>
      <c r="D52" s="134">
        <f>(SUM('Balance Sheet '!D20,'Balance Sheet '!D24))/'Balance Sheet '!D15</f>
        <v>1.6054433378051884E-3</v>
      </c>
      <c r="E52" s="134">
        <f>(SUM('Balance Sheet '!E20,'Balance Sheet '!E24))/'Balance Sheet '!E15</f>
        <v>8.1231184470050856E-4</v>
      </c>
      <c r="F52" s="134">
        <f>(SUM('Balance Sheet '!F20,'Balance Sheet '!F24))/'Balance Sheet '!F15</f>
        <v>0.14644337625683543</v>
      </c>
      <c r="G52" s="134">
        <f>(SUM('Balance Sheet '!G20,'Balance Sheet '!G24))/'Balance Sheet '!G15</f>
        <v>0.15047074157800258</v>
      </c>
      <c r="H52" s="134">
        <f>(SUM('Balance Sheet '!H20,'Balance Sheet '!H24))/'Balance Sheet '!H15</f>
        <v>6.291464061186916E-2</v>
      </c>
      <c r="I52" s="75">
        <f t="shared" si="7"/>
        <v>7.9762308992024369E-2</v>
      </c>
      <c r="J52" s="76">
        <f t="shared" si="11"/>
        <v>9.3664360384253978E-2</v>
      </c>
      <c r="K52" s="81">
        <f>I52</f>
        <v>7.9762308992024369E-2</v>
      </c>
      <c r="L52" s="28"/>
    </row>
    <row r="53" spans="1:16" ht="15.75" customHeight="1" x14ac:dyDescent="0.2">
      <c r="E53" s="83"/>
      <c r="F53" s="83"/>
      <c r="G53" s="83"/>
      <c r="H53" s="83"/>
      <c r="I53" s="83"/>
      <c r="J53" s="83"/>
      <c r="L53" s="28"/>
    </row>
    <row r="54" spans="1:16" ht="15.75" customHeight="1" x14ac:dyDescent="0.2">
      <c r="E54" s="83"/>
      <c r="F54" s="83"/>
      <c r="G54" s="83"/>
      <c r="H54" s="83"/>
      <c r="I54" s="83"/>
      <c r="J54" s="83"/>
      <c r="L54" s="28"/>
    </row>
    <row r="55" spans="1:16" ht="15.75" customHeight="1" x14ac:dyDescent="0.2">
      <c r="E55" s="79"/>
      <c r="F55" s="83"/>
      <c r="G55" s="83"/>
      <c r="H55" s="83"/>
      <c r="I55" s="83"/>
      <c r="J55" s="83"/>
      <c r="L55" s="28"/>
    </row>
    <row r="56" spans="1:16" ht="15.75" customHeight="1" x14ac:dyDescent="0.2">
      <c r="E56" s="83"/>
      <c r="F56" s="83"/>
      <c r="G56" s="83"/>
      <c r="J56" s="83"/>
      <c r="L56" s="28"/>
    </row>
    <row r="57" spans="1:16" ht="15.75" customHeight="1" x14ac:dyDescent="0.2">
      <c r="E57" s="83"/>
      <c r="F57" s="83"/>
      <c r="G57" s="83"/>
      <c r="J57" s="83"/>
      <c r="L57" s="28"/>
    </row>
    <row r="58" spans="1:16" ht="15.75" customHeight="1" x14ac:dyDescent="0.2">
      <c r="E58" s="83"/>
      <c r="F58" s="83"/>
      <c r="G58" s="83"/>
      <c r="I58" s="79"/>
      <c r="J58" s="83"/>
      <c r="L58" s="28"/>
    </row>
    <row r="59" spans="1:16" ht="15.75" customHeight="1" x14ac:dyDescent="0.2">
      <c r="E59" s="83"/>
      <c r="F59" s="83"/>
      <c r="G59" s="83"/>
      <c r="I59" s="79"/>
      <c r="J59" s="83"/>
      <c r="L59" s="28"/>
    </row>
    <row r="60" spans="1:16" ht="15.75" customHeight="1" x14ac:dyDescent="0.2">
      <c r="E60" s="83"/>
      <c r="F60" s="83"/>
      <c r="G60" s="83"/>
      <c r="I60" s="79"/>
      <c r="J60" s="83"/>
      <c r="L60" s="28"/>
    </row>
    <row r="61" spans="1:16" ht="15.75" customHeight="1" x14ac:dyDescent="0.2">
      <c r="E61" s="83"/>
      <c r="F61" s="83"/>
      <c r="G61" s="83"/>
      <c r="I61" s="79"/>
      <c r="J61" s="83"/>
      <c r="L61" s="28"/>
    </row>
    <row r="62" spans="1:16" ht="15.75" customHeight="1" x14ac:dyDescent="0.2">
      <c r="E62" s="83"/>
      <c r="F62" s="83"/>
      <c r="G62" s="83"/>
      <c r="H62" s="83"/>
      <c r="I62" s="83"/>
      <c r="J62" s="83"/>
      <c r="L62" s="28"/>
    </row>
    <row r="63" spans="1:16" ht="15.75" customHeight="1" x14ac:dyDescent="0.2">
      <c r="E63" s="83"/>
      <c r="F63" s="83"/>
      <c r="G63" s="83"/>
      <c r="H63" s="83"/>
      <c r="I63" s="83"/>
      <c r="J63" s="83"/>
      <c r="L63" s="28"/>
    </row>
    <row r="64" spans="1:16" ht="15.75" customHeight="1" x14ac:dyDescent="0.2">
      <c r="E64" s="83"/>
      <c r="F64" s="83"/>
      <c r="G64" s="83"/>
      <c r="H64" s="83"/>
      <c r="I64" s="83"/>
      <c r="J64" s="83"/>
      <c r="L64" s="28"/>
    </row>
    <row r="65" spans="5:12" ht="15.75" customHeight="1" x14ac:dyDescent="0.2">
      <c r="E65" s="83"/>
      <c r="F65" s="83"/>
      <c r="G65" s="83"/>
      <c r="H65" s="83"/>
      <c r="I65" s="83"/>
      <c r="J65" s="83"/>
      <c r="L65" s="28"/>
    </row>
    <row r="66" spans="5:12" ht="15.75" customHeight="1" x14ac:dyDescent="0.2">
      <c r="E66" s="83"/>
      <c r="F66" s="83"/>
      <c r="G66" s="83"/>
      <c r="H66" s="83"/>
      <c r="I66" s="83"/>
      <c r="J66" s="83"/>
      <c r="L66" s="28"/>
    </row>
    <row r="67" spans="5:12" ht="15.75" customHeight="1" x14ac:dyDescent="0.2">
      <c r="E67" s="83"/>
      <c r="F67" s="83"/>
      <c r="G67" s="83"/>
      <c r="H67" s="83"/>
      <c r="I67" s="83"/>
      <c r="J67" s="83"/>
      <c r="L67" s="28"/>
    </row>
    <row r="68" spans="5:12" ht="15.75" customHeight="1" x14ac:dyDescent="0.2">
      <c r="E68" s="83"/>
      <c r="F68" s="83"/>
      <c r="G68" s="83"/>
      <c r="H68" s="83"/>
      <c r="I68" s="83"/>
      <c r="J68" s="83"/>
      <c r="L68" s="28"/>
    </row>
    <row r="69" spans="5:12" ht="15.75" customHeight="1" x14ac:dyDescent="0.2">
      <c r="E69" s="83"/>
      <c r="F69" s="83"/>
      <c r="G69" s="83"/>
      <c r="H69" s="83"/>
      <c r="I69" s="83"/>
      <c r="J69" s="83"/>
      <c r="L69" s="28"/>
    </row>
    <row r="70" spans="5:12" ht="15.75" customHeight="1" x14ac:dyDescent="0.2">
      <c r="E70" s="83"/>
      <c r="F70" s="83"/>
      <c r="G70" s="83"/>
      <c r="H70" s="83"/>
      <c r="I70" s="83"/>
      <c r="J70" s="83"/>
      <c r="L70" s="28"/>
    </row>
    <row r="71" spans="5:12" ht="15.75" customHeight="1" x14ac:dyDescent="0.2">
      <c r="E71" s="83"/>
      <c r="F71" s="83"/>
      <c r="G71" s="83"/>
      <c r="H71" s="83"/>
      <c r="I71" s="83"/>
      <c r="J71" s="83"/>
      <c r="L71" s="28"/>
    </row>
    <row r="72" spans="5:12" ht="15.75" customHeight="1" x14ac:dyDescent="0.2">
      <c r="E72" s="83"/>
      <c r="F72" s="83"/>
      <c r="G72" s="83"/>
      <c r="H72" s="83"/>
      <c r="I72" s="83"/>
      <c r="J72" s="83"/>
      <c r="L72" s="28"/>
    </row>
    <row r="73" spans="5:12" ht="15.75" customHeight="1" x14ac:dyDescent="0.2">
      <c r="E73" s="83"/>
      <c r="F73" s="83"/>
      <c r="G73" s="83"/>
      <c r="H73" s="83"/>
      <c r="I73" s="83"/>
      <c r="J73" s="83"/>
      <c r="L73" s="28"/>
    </row>
    <row r="74" spans="5:12" ht="15.75" customHeight="1" x14ac:dyDescent="0.2">
      <c r="E74" s="83"/>
      <c r="F74" s="83"/>
      <c r="G74" s="83"/>
      <c r="H74" s="83"/>
      <c r="I74" s="83"/>
      <c r="J74" s="83"/>
      <c r="L74" s="28"/>
    </row>
    <row r="75" spans="5:12" ht="15.75" customHeight="1" x14ac:dyDescent="0.2">
      <c r="E75" s="83"/>
      <c r="F75" s="83"/>
      <c r="G75" s="83"/>
      <c r="H75" s="83"/>
      <c r="I75" s="83"/>
      <c r="J75" s="83"/>
      <c r="L75" s="28"/>
    </row>
    <row r="76" spans="5:12" ht="15.75" customHeight="1" x14ac:dyDescent="0.2">
      <c r="E76" s="83"/>
      <c r="F76" s="83"/>
      <c r="G76" s="83"/>
      <c r="H76" s="83"/>
      <c r="I76" s="83"/>
      <c r="J76" s="83"/>
      <c r="L76" s="28"/>
    </row>
    <row r="77" spans="5:12" ht="15.75" customHeight="1" x14ac:dyDescent="0.2">
      <c r="E77" s="83"/>
      <c r="F77" s="83"/>
      <c r="G77" s="83"/>
      <c r="H77" s="83"/>
      <c r="I77" s="83"/>
      <c r="J77" s="83"/>
      <c r="L77" s="28"/>
    </row>
    <row r="78" spans="5:12" ht="15.75" customHeight="1" x14ac:dyDescent="0.2">
      <c r="E78" s="83"/>
      <c r="F78" s="83"/>
      <c r="G78" s="83"/>
      <c r="H78" s="83"/>
      <c r="I78" s="83"/>
      <c r="J78" s="83"/>
      <c r="L78" s="28"/>
    </row>
    <row r="79" spans="5:12" ht="15.75" customHeight="1" x14ac:dyDescent="0.2">
      <c r="E79" s="83"/>
      <c r="F79" s="83"/>
      <c r="G79" s="83"/>
      <c r="H79" s="83"/>
      <c r="I79" s="83"/>
      <c r="J79" s="83"/>
      <c r="L79" s="28"/>
    </row>
    <row r="80" spans="5:12" ht="15.75" customHeight="1" x14ac:dyDescent="0.2">
      <c r="E80" s="83"/>
      <c r="F80" s="83"/>
      <c r="G80" s="83"/>
      <c r="H80" s="83"/>
      <c r="I80" s="83"/>
      <c r="J80" s="83"/>
      <c r="L80" s="28"/>
    </row>
    <row r="81" spans="5:12" ht="15.75" customHeight="1" x14ac:dyDescent="0.2">
      <c r="E81" s="83"/>
      <c r="F81" s="83"/>
      <c r="G81" s="83"/>
      <c r="H81" s="83"/>
      <c r="I81" s="83"/>
      <c r="J81" s="83"/>
      <c r="L81" s="28"/>
    </row>
    <row r="82" spans="5:12" ht="15.75" customHeight="1" x14ac:dyDescent="0.2">
      <c r="E82" s="83"/>
      <c r="F82" s="83"/>
      <c r="G82" s="83"/>
      <c r="H82" s="83"/>
      <c r="I82" s="83"/>
      <c r="J82" s="83"/>
      <c r="L82" s="28"/>
    </row>
    <row r="83" spans="5:12" ht="15.75" customHeight="1" x14ac:dyDescent="0.2">
      <c r="E83" s="83"/>
      <c r="F83" s="83"/>
      <c r="G83" s="83"/>
      <c r="H83" s="83"/>
      <c r="I83" s="83"/>
      <c r="J83" s="83"/>
      <c r="L83" s="28"/>
    </row>
    <row r="84" spans="5:12" ht="15.75" customHeight="1" x14ac:dyDescent="0.2">
      <c r="E84" s="83"/>
      <c r="F84" s="83"/>
      <c r="G84" s="83"/>
      <c r="H84" s="83"/>
      <c r="I84" s="83"/>
      <c r="J84" s="83"/>
      <c r="L84" s="28"/>
    </row>
    <row r="85" spans="5:12" ht="15.75" customHeight="1" x14ac:dyDescent="0.2">
      <c r="E85" s="83"/>
      <c r="F85" s="83"/>
      <c r="G85" s="83"/>
      <c r="H85" s="83"/>
      <c r="I85" s="83"/>
      <c r="J85" s="83"/>
      <c r="L85" s="28"/>
    </row>
    <row r="86" spans="5:12" ht="15.75" customHeight="1" x14ac:dyDescent="0.2">
      <c r="E86" s="83"/>
      <c r="F86" s="83"/>
      <c r="G86" s="83"/>
      <c r="H86" s="83"/>
      <c r="I86" s="83"/>
      <c r="J86" s="83"/>
      <c r="L86" s="28"/>
    </row>
    <row r="87" spans="5:12" ht="15.75" customHeight="1" x14ac:dyDescent="0.2">
      <c r="E87" s="83"/>
      <c r="F87" s="83"/>
      <c r="G87" s="83"/>
      <c r="H87" s="83"/>
      <c r="I87" s="83"/>
      <c r="J87" s="83"/>
      <c r="L87" s="28"/>
    </row>
    <row r="88" spans="5:12" ht="15.75" customHeight="1" x14ac:dyDescent="0.2">
      <c r="E88" s="83"/>
      <c r="F88" s="83"/>
      <c r="G88" s="83"/>
      <c r="H88" s="83"/>
      <c r="I88" s="83"/>
      <c r="J88" s="83"/>
      <c r="L88" s="28"/>
    </row>
    <row r="89" spans="5:12" ht="15.75" customHeight="1" x14ac:dyDescent="0.2">
      <c r="E89" s="83"/>
      <c r="F89" s="83"/>
      <c r="G89" s="83"/>
      <c r="H89" s="83"/>
      <c r="I89" s="83"/>
      <c r="J89" s="83"/>
      <c r="L89" s="28"/>
    </row>
    <row r="90" spans="5:12" ht="15.75" customHeight="1" x14ac:dyDescent="0.2">
      <c r="E90" s="83"/>
      <c r="F90" s="83"/>
      <c r="G90" s="83"/>
      <c r="H90" s="83"/>
      <c r="I90" s="83"/>
      <c r="J90" s="83"/>
      <c r="L90" s="28"/>
    </row>
    <row r="91" spans="5:12" ht="15.75" customHeight="1" x14ac:dyDescent="0.2">
      <c r="E91" s="83"/>
      <c r="F91" s="83"/>
      <c r="G91" s="83"/>
      <c r="H91" s="83"/>
      <c r="I91" s="83"/>
      <c r="J91" s="83"/>
      <c r="L91" s="28"/>
    </row>
    <row r="92" spans="5:12" ht="15.75" customHeight="1" x14ac:dyDescent="0.2">
      <c r="E92" s="83"/>
      <c r="F92" s="83"/>
      <c r="G92" s="83"/>
      <c r="H92" s="83"/>
      <c r="I92" s="83"/>
      <c r="J92" s="83"/>
      <c r="L92" s="28"/>
    </row>
    <row r="93" spans="5:12" ht="15.75" customHeight="1" x14ac:dyDescent="0.2">
      <c r="E93" s="83"/>
      <c r="F93" s="83"/>
      <c r="G93" s="83"/>
      <c r="H93" s="83"/>
      <c r="I93" s="83"/>
      <c r="J93" s="83"/>
      <c r="L93" s="28"/>
    </row>
    <row r="94" spans="5:12" ht="15.75" customHeight="1" x14ac:dyDescent="0.2">
      <c r="E94" s="83"/>
      <c r="F94" s="83"/>
      <c r="G94" s="83"/>
      <c r="H94" s="83"/>
      <c r="I94" s="83"/>
      <c r="J94" s="83"/>
      <c r="L94" s="28"/>
    </row>
    <row r="95" spans="5:12" ht="15.75" customHeight="1" x14ac:dyDescent="0.2">
      <c r="E95" s="83"/>
      <c r="F95" s="83"/>
      <c r="G95" s="83"/>
      <c r="H95" s="83"/>
      <c r="I95" s="83"/>
      <c r="J95" s="83"/>
      <c r="L95" s="28"/>
    </row>
    <row r="96" spans="5:12" ht="15.75" customHeight="1" x14ac:dyDescent="0.2">
      <c r="E96" s="83"/>
      <c r="F96" s="83"/>
      <c r="G96" s="83"/>
      <c r="H96" s="83"/>
      <c r="I96" s="83"/>
      <c r="J96" s="83"/>
      <c r="L96" s="28"/>
    </row>
    <row r="97" spans="5:12" ht="15.75" customHeight="1" x14ac:dyDescent="0.2">
      <c r="E97" s="83"/>
      <c r="F97" s="83"/>
      <c r="G97" s="83"/>
      <c r="H97" s="83"/>
      <c r="I97" s="83"/>
      <c r="J97" s="83"/>
      <c r="L97" s="28"/>
    </row>
    <row r="98" spans="5:12" ht="15.75" customHeight="1" x14ac:dyDescent="0.2">
      <c r="E98" s="83"/>
      <c r="F98" s="83"/>
      <c r="G98" s="83"/>
      <c r="H98" s="83"/>
      <c r="I98" s="83"/>
      <c r="J98" s="83"/>
      <c r="L98" s="28"/>
    </row>
    <row r="99" spans="5:12" ht="15.75" customHeight="1" x14ac:dyDescent="0.2">
      <c r="E99" s="83"/>
      <c r="F99" s="83"/>
      <c r="G99" s="83"/>
      <c r="H99" s="83"/>
      <c r="I99" s="83"/>
      <c r="J99" s="83"/>
      <c r="L99" s="28"/>
    </row>
    <row r="100" spans="5:12" ht="15.75" customHeight="1" x14ac:dyDescent="0.2">
      <c r="E100" s="83"/>
      <c r="F100" s="83"/>
      <c r="G100" s="83"/>
      <c r="H100" s="83"/>
      <c r="I100" s="83"/>
      <c r="J100" s="83"/>
      <c r="L100" s="28"/>
    </row>
    <row r="101" spans="5:12" ht="15.75" customHeight="1" x14ac:dyDescent="0.2">
      <c r="E101" s="83"/>
      <c r="F101" s="83"/>
      <c r="G101" s="83"/>
      <c r="H101" s="83"/>
      <c r="I101" s="83"/>
      <c r="J101" s="83"/>
      <c r="L101" s="28"/>
    </row>
    <row r="102" spans="5:12" ht="15.75" customHeight="1" x14ac:dyDescent="0.2">
      <c r="E102" s="83"/>
      <c r="F102" s="83"/>
      <c r="G102" s="83"/>
      <c r="H102" s="83"/>
      <c r="I102" s="83"/>
      <c r="J102" s="83"/>
      <c r="L102" s="28"/>
    </row>
    <row r="103" spans="5:12" ht="15.75" customHeight="1" x14ac:dyDescent="0.2">
      <c r="E103" s="83"/>
      <c r="F103" s="83"/>
      <c r="G103" s="83"/>
      <c r="H103" s="83"/>
      <c r="I103" s="83"/>
      <c r="J103" s="83"/>
      <c r="L103" s="28"/>
    </row>
    <row r="104" spans="5:12" ht="15.75" customHeight="1" x14ac:dyDescent="0.2">
      <c r="E104" s="83"/>
      <c r="F104" s="83"/>
      <c r="G104" s="83"/>
      <c r="H104" s="83"/>
      <c r="I104" s="83"/>
      <c r="J104" s="83"/>
      <c r="L104" s="28"/>
    </row>
    <row r="105" spans="5:12" ht="15.75" customHeight="1" x14ac:dyDescent="0.2">
      <c r="E105" s="83"/>
      <c r="F105" s="83"/>
      <c r="G105" s="83"/>
      <c r="H105" s="83"/>
      <c r="I105" s="83"/>
      <c r="J105" s="83"/>
      <c r="L105" s="28"/>
    </row>
    <row r="106" spans="5:12" ht="15.75" customHeight="1" x14ac:dyDescent="0.2">
      <c r="E106" s="83"/>
      <c r="F106" s="83"/>
      <c r="G106" s="83"/>
      <c r="H106" s="83"/>
      <c r="I106" s="83"/>
      <c r="J106" s="83"/>
      <c r="L106" s="28"/>
    </row>
    <row r="107" spans="5:12" ht="15.75" customHeight="1" x14ac:dyDescent="0.2">
      <c r="E107" s="83"/>
      <c r="F107" s="83"/>
      <c r="G107" s="83"/>
      <c r="H107" s="83"/>
      <c r="I107" s="83"/>
      <c r="J107" s="83"/>
      <c r="L107" s="28"/>
    </row>
    <row r="108" spans="5:12" ht="15.75" customHeight="1" x14ac:dyDescent="0.2">
      <c r="E108" s="83"/>
      <c r="F108" s="83"/>
      <c r="G108" s="83"/>
      <c r="H108" s="83"/>
      <c r="I108" s="83"/>
      <c r="J108" s="83"/>
      <c r="L108" s="28"/>
    </row>
    <row r="109" spans="5:12" ht="15.75" customHeight="1" x14ac:dyDescent="0.2">
      <c r="E109" s="83"/>
      <c r="F109" s="83"/>
      <c r="G109" s="83"/>
      <c r="H109" s="83"/>
      <c r="I109" s="83"/>
      <c r="J109" s="83"/>
      <c r="L109" s="28"/>
    </row>
    <row r="110" spans="5:12" ht="15.75" customHeight="1" x14ac:dyDescent="0.2">
      <c r="E110" s="83"/>
      <c r="F110" s="83"/>
      <c r="G110" s="83"/>
      <c r="H110" s="83"/>
      <c r="I110" s="83"/>
      <c r="J110" s="83"/>
      <c r="L110" s="28"/>
    </row>
    <row r="111" spans="5:12" ht="15.75" customHeight="1" x14ac:dyDescent="0.2">
      <c r="E111" s="83"/>
      <c r="F111" s="83"/>
      <c r="G111" s="83"/>
      <c r="H111" s="83"/>
      <c r="I111" s="83"/>
      <c r="J111" s="83"/>
      <c r="L111" s="28"/>
    </row>
    <row r="112" spans="5:12" ht="15.75" customHeight="1" x14ac:dyDescent="0.2">
      <c r="E112" s="83"/>
      <c r="F112" s="83"/>
      <c r="G112" s="83"/>
      <c r="H112" s="83"/>
      <c r="I112" s="83"/>
      <c r="J112" s="83"/>
      <c r="L112" s="28"/>
    </row>
    <row r="113" spans="5:12" ht="15.75" customHeight="1" x14ac:dyDescent="0.2">
      <c r="E113" s="83"/>
      <c r="F113" s="83"/>
      <c r="G113" s="83"/>
      <c r="H113" s="83"/>
      <c r="I113" s="83"/>
      <c r="J113" s="83"/>
      <c r="L113" s="28"/>
    </row>
    <row r="114" spans="5:12" ht="15.75" customHeight="1" x14ac:dyDescent="0.2">
      <c r="E114" s="83"/>
      <c r="F114" s="83"/>
      <c r="G114" s="83"/>
      <c r="H114" s="83"/>
      <c r="I114" s="83"/>
      <c r="J114" s="83"/>
      <c r="L114" s="28"/>
    </row>
    <row r="115" spans="5:12" ht="15.75" customHeight="1" x14ac:dyDescent="0.2">
      <c r="E115" s="83"/>
      <c r="F115" s="83"/>
      <c r="G115" s="83"/>
      <c r="H115" s="83"/>
      <c r="I115" s="83"/>
      <c r="J115" s="83"/>
      <c r="L115" s="28"/>
    </row>
    <row r="116" spans="5:12" ht="15.75" customHeight="1" x14ac:dyDescent="0.2">
      <c r="E116" s="83"/>
      <c r="F116" s="83"/>
      <c r="G116" s="83"/>
      <c r="H116" s="83"/>
      <c r="I116" s="83"/>
      <c r="J116" s="83"/>
      <c r="L116" s="28"/>
    </row>
    <row r="117" spans="5:12" ht="15.75" customHeight="1" x14ac:dyDescent="0.2">
      <c r="E117" s="83"/>
      <c r="F117" s="83"/>
      <c r="G117" s="83"/>
      <c r="H117" s="83"/>
      <c r="I117" s="83"/>
      <c r="J117" s="83"/>
      <c r="L117" s="28"/>
    </row>
    <row r="118" spans="5:12" ht="15.75" customHeight="1" x14ac:dyDescent="0.2">
      <c r="E118" s="83"/>
      <c r="F118" s="83"/>
      <c r="G118" s="83"/>
      <c r="H118" s="83"/>
      <c r="I118" s="83"/>
      <c r="J118" s="83"/>
      <c r="L118" s="28"/>
    </row>
    <row r="119" spans="5:12" ht="15.75" customHeight="1" x14ac:dyDescent="0.2">
      <c r="E119" s="83"/>
      <c r="F119" s="83"/>
      <c r="G119" s="83"/>
      <c r="H119" s="83"/>
      <c r="I119" s="83"/>
      <c r="J119" s="83"/>
      <c r="L119" s="28"/>
    </row>
    <row r="120" spans="5:12" ht="15.75" customHeight="1" x14ac:dyDescent="0.2">
      <c r="E120" s="83"/>
      <c r="F120" s="83"/>
      <c r="G120" s="83"/>
      <c r="H120" s="83"/>
      <c r="I120" s="83"/>
      <c r="J120" s="83"/>
      <c r="L120" s="28"/>
    </row>
    <row r="121" spans="5:12" ht="15.75" customHeight="1" x14ac:dyDescent="0.2">
      <c r="E121" s="83"/>
      <c r="F121" s="83"/>
      <c r="G121" s="83"/>
      <c r="H121" s="83"/>
      <c r="I121" s="83"/>
      <c r="J121" s="83"/>
      <c r="L121" s="28"/>
    </row>
    <row r="122" spans="5:12" ht="15.75" customHeight="1" x14ac:dyDescent="0.2">
      <c r="E122" s="83"/>
      <c r="F122" s="83"/>
      <c r="G122" s="83"/>
      <c r="H122" s="83"/>
      <c r="I122" s="83"/>
      <c r="J122" s="83"/>
      <c r="L122" s="28"/>
    </row>
    <row r="123" spans="5:12" ht="15.75" customHeight="1" x14ac:dyDescent="0.2">
      <c r="E123" s="83"/>
      <c r="F123" s="83"/>
      <c r="G123" s="83"/>
      <c r="H123" s="83"/>
      <c r="I123" s="83"/>
      <c r="J123" s="83"/>
      <c r="L123" s="28"/>
    </row>
    <row r="124" spans="5:12" ht="15.75" customHeight="1" x14ac:dyDescent="0.2">
      <c r="E124" s="83"/>
      <c r="F124" s="83"/>
      <c r="G124" s="83"/>
      <c r="H124" s="83"/>
      <c r="I124" s="83"/>
      <c r="J124" s="83"/>
      <c r="L124" s="28"/>
    </row>
    <row r="125" spans="5:12" ht="15.75" customHeight="1" x14ac:dyDescent="0.2">
      <c r="E125" s="83"/>
      <c r="F125" s="83"/>
      <c r="G125" s="83"/>
      <c r="H125" s="83"/>
      <c r="I125" s="83"/>
      <c r="J125" s="83"/>
      <c r="L125" s="28"/>
    </row>
    <row r="126" spans="5:12" ht="15.75" customHeight="1" x14ac:dyDescent="0.2">
      <c r="E126" s="83"/>
      <c r="F126" s="83"/>
      <c r="G126" s="83"/>
      <c r="H126" s="83"/>
      <c r="I126" s="83"/>
      <c r="J126" s="83"/>
      <c r="L126" s="28"/>
    </row>
    <row r="127" spans="5:12" ht="15.75" customHeight="1" x14ac:dyDescent="0.2">
      <c r="E127" s="83"/>
      <c r="F127" s="83"/>
      <c r="G127" s="83"/>
      <c r="H127" s="83"/>
      <c r="I127" s="83"/>
      <c r="J127" s="83"/>
      <c r="L127" s="28"/>
    </row>
    <row r="128" spans="5:12" ht="15.75" customHeight="1" x14ac:dyDescent="0.2">
      <c r="E128" s="83"/>
      <c r="F128" s="83"/>
      <c r="G128" s="83"/>
      <c r="H128" s="83"/>
      <c r="I128" s="83"/>
      <c r="J128" s="83"/>
      <c r="L128" s="28"/>
    </row>
    <row r="129" spans="5:12" ht="15.75" customHeight="1" x14ac:dyDescent="0.2">
      <c r="E129" s="83"/>
      <c r="F129" s="83"/>
      <c r="G129" s="83"/>
      <c r="H129" s="83"/>
      <c r="I129" s="83"/>
      <c r="J129" s="83"/>
      <c r="L129" s="28"/>
    </row>
    <row r="130" spans="5:12" ht="15.75" customHeight="1" x14ac:dyDescent="0.2">
      <c r="E130" s="83"/>
      <c r="F130" s="83"/>
      <c r="G130" s="83"/>
      <c r="H130" s="83"/>
      <c r="I130" s="83"/>
      <c r="J130" s="83"/>
      <c r="L130" s="28"/>
    </row>
    <row r="131" spans="5:12" ht="15.75" customHeight="1" x14ac:dyDescent="0.2">
      <c r="E131" s="83"/>
      <c r="F131" s="83"/>
      <c r="G131" s="83"/>
      <c r="H131" s="83"/>
      <c r="I131" s="83"/>
      <c r="J131" s="83"/>
      <c r="L131" s="28"/>
    </row>
    <row r="132" spans="5:12" ht="15.75" customHeight="1" x14ac:dyDescent="0.2">
      <c r="E132" s="83"/>
      <c r="F132" s="83"/>
      <c r="G132" s="83"/>
      <c r="H132" s="83"/>
      <c r="I132" s="83"/>
      <c r="J132" s="83"/>
      <c r="L132" s="28"/>
    </row>
    <row r="133" spans="5:12" ht="15.75" customHeight="1" x14ac:dyDescent="0.2">
      <c r="E133" s="83"/>
      <c r="F133" s="83"/>
      <c r="G133" s="83"/>
      <c r="H133" s="83"/>
      <c r="I133" s="83"/>
      <c r="J133" s="83"/>
      <c r="L133" s="28"/>
    </row>
    <row r="134" spans="5:12" ht="15.75" customHeight="1" x14ac:dyDescent="0.2">
      <c r="E134" s="83"/>
      <c r="F134" s="83"/>
      <c r="G134" s="83"/>
      <c r="H134" s="83"/>
      <c r="I134" s="83"/>
      <c r="J134" s="83"/>
      <c r="L134" s="28"/>
    </row>
    <row r="135" spans="5:12" ht="15.75" customHeight="1" x14ac:dyDescent="0.2">
      <c r="E135" s="83"/>
      <c r="F135" s="83"/>
      <c r="G135" s="83"/>
      <c r="H135" s="83"/>
      <c r="I135" s="83"/>
      <c r="J135" s="83"/>
      <c r="L135" s="28"/>
    </row>
    <row r="136" spans="5:12" ht="15.75" customHeight="1" x14ac:dyDescent="0.2">
      <c r="E136" s="83"/>
      <c r="F136" s="83"/>
      <c r="G136" s="83"/>
      <c r="H136" s="83"/>
      <c r="I136" s="83"/>
      <c r="J136" s="83"/>
      <c r="L136" s="28"/>
    </row>
    <row r="137" spans="5:12" ht="15.75" customHeight="1" x14ac:dyDescent="0.2">
      <c r="E137" s="83"/>
      <c r="F137" s="83"/>
      <c r="G137" s="83"/>
      <c r="H137" s="83"/>
      <c r="I137" s="83"/>
      <c r="J137" s="83"/>
      <c r="L137" s="28"/>
    </row>
    <row r="138" spans="5:12" ht="15.75" customHeight="1" x14ac:dyDescent="0.2">
      <c r="E138" s="83"/>
      <c r="F138" s="83"/>
      <c r="G138" s="83"/>
      <c r="H138" s="83"/>
      <c r="I138" s="83"/>
      <c r="J138" s="83"/>
      <c r="L138" s="28"/>
    </row>
    <row r="139" spans="5:12" ht="15.75" customHeight="1" x14ac:dyDescent="0.2">
      <c r="E139" s="83"/>
      <c r="F139" s="83"/>
      <c r="G139" s="83"/>
      <c r="H139" s="83"/>
      <c r="I139" s="83"/>
      <c r="J139" s="83"/>
      <c r="L139" s="28"/>
    </row>
    <row r="140" spans="5:12" ht="15.75" customHeight="1" x14ac:dyDescent="0.2">
      <c r="E140" s="83"/>
      <c r="F140" s="83"/>
      <c r="G140" s="83"/>
      <c r="H140" s="83"/>
      <c r="I140" s="83"/>
      <c r="J140" s="83"/>
      <c r="L140" s="28"/>
    </row>
    <row r="141" spans="5:12" ht="15.75" customHeight="1" x14ac:dyDescent="0.2">
      <c r="E141" s="83"/>
      <c r="F141" s="83"/>
      <c r="G141" s="83"/>
      <c r="H141" s="83"/>
      <c r="I141" s="83"/>
      <c r="J141" s="83"/>
      <c r="L141" s="28"/>
    </row>
    <row r="142" spans="5:12" ht="15.75" customHeight="1" x14ac:dyDescent="0.2">
      <c r="E142" s="83"/>
      <c r="F142" s="83"/>
      <c r="G142" s="83"/>
      <c r="H142" s="83"/>
      <c r="I142" s="83"/>
      <c r="J142" s="83"/>
      <c r="L142" s="28"/>
    </row>
    <row r="143" spans="5:12" ht="15.75" customHeight="1" x14ac:dyDescent="0.2">
      <c r="E143" s="83"/>
      <c r="F143" s="83"/>
      <c r="G143" s="83"/>
      <c r="H143" s="83"/>
      <c r="I143" s="83"/>
      <c r="J143" s="83"/>
      <c r="L143" s="28"/>
    </row>
    <row r="144" spans="5:12" ht="15.75" customHeight="1" x14ac:dyDescent="0.2">
      <c r="E144" s="83"/>
      <c r="F144" s="83"/>
      <c r="G144" s="83"/>
      <c r="H144" s="83"/>
      <c r="I144" s="83"/>
      <c r="J144" s="83"/>
      <c r="L144" s="28"/>
    </row>
    <row r="145" spans="5:12" ht="15.75" customHeight="1" x14ac:dyDescent="0.2">
      <c r="E145" s="83"/>
      <c r="F145" s="83"/>
      <c r="G145" s="83"/>
      <c r="H145" s="83"/>
      <c r="I145" s="83"/>
      <c r="J145" s="83"/>
      <c r="L145" s="28"/>
    </row>
    <row r="146" spans="5:12" ht="15.75" customHeight="1" x14ac:dyDescent="0.2">
      <c r="E146" s="83"/>
      <c r="F146" s="83"/>
      <c r="G146" s="83"/>
      <c r="H146" s="83"/>
      <c r="I146" s="83"/>
      <c r="J146" s="83"/>
      <c r="L146" s="28"/>
    </row>
    <row r="147" spans="5:12" ht="15.75" customHeight="1" x14ac:dyDescent="0.2">
      <c r="E147" s="83"/>
      <c r="F147" s="83"/>
      <c r="G147" s="83"/>
      <c r="H147" s="83"/>
      <c r="I147" s="83"/>
      <c r="J147" s="83"/>
      <c r="L147" s="28"/>
    </row>
    <row r="148" spans="5:12" ht="15.75" customHeight="1" x14ac:dyDescent="0.2">
      <c r="E148" s="83"/>
      <c r="F148" s="83"/>
      <c r="G148" s="83"/>
      <c r="H148" s="83"/>
      <c r="I148" s="83"/>
      <c r="J148" s="83"/>
      <c r="L148" s="28"/>
    </row>
    <row r="149" spans="5:12" ht="15.75" customHeight="1" x14ac:dyDescent="0.2">
      <c r="E149" s="83"/>
      <c r="F149" s="83"/>
      <c r="G149" s="83"/>
      <c r="H149" s="83"/>
      <c r="I149" s="83"/>
      <c r="J149" s="83"/>
      <c r="L149" s="28"/>
    </row>
    <row r="150" spans="5:12" ht="15.75" customHeight="1" x14ac:dyDescent="0.2">
      <c r="E150" s="83"/>
      <c r="F150" s="83"/>
      <c r="G150" s="83"/>
      <c r="H150" s="83"/>
      <c r="I150" s="83"/>
      <c r="J150" s="83"/>
      <c r="L150" s="28"/>
    </row>
    <row r="151" spans="5:12" ht="15.75" customHeight="1" x14ac:dyDescent="0.2">
      <c r="E151" s="83"/>
      <c r="F151" s="83"/>
      <c r="G151" s="83"/>
      <c r="H151" s="83"/>
      <c r="I151" s="83"/>
      <c r="J151" s="83"/>
      <c r="L151" s="28"/>
    </row>
    <row r="152" spans="5:12" ht="15.75" customHeight="1" x14ac:dyDescent="0.2">
      <c r="E152" s="83"/>
      <c r="F152" s="83"/>
      <c r="G152" s="83"/>
      <c r="H152" s="83"/>
      <c r="I152" s="83"/>
      <c r="J152" s="83"/>
      <c r="L152" s="28"/>
    </row>
    <row r="153" spans="5:12" ht="15.75" customHeight="1" x14ac:dyDescent="0.2">
      <c r="E153" s="83"/>
      <c r="F153" s="83"/>
      <c r="G153" s="83"/>
      <c r="H153" s="83"/>
      <c r="I153" s="83"/>
      <c r="J153" s="83"/>
      <c r="L153" s="28"/>
    </row>
    <row r="154" spans="5:12" ht="15.75" customHeight="1" x14ac:dyDescent="0.2">
      <c r="E154" s="83"/>
      <c r="F154" s="83"/>
      <c r="G154" s="83"/>
      <c r="H154" s="83"/>
      <c r="I154" s="83"/>
      <c r="J154" s="83"/>
      <c r="L154" s="28"/>
    </row>
    <row r="155" spans="5:12" ht="15.75" customHeight="1" x14ac:dyDescent="0.2">
      <c r="E155" s="83"/>
      <c r="F155" s="83"/>
      <c r="G155" s="83"/>
      <c r="H155" s="83"/>
      <c r="I155" s="83"/>
      <c r="J155" s="83"/>
      <c r="L155" s="28"/>
    </row>
    <row r="156" spans="5:12" ht="15.75" customHeight="1" x14ac:dyDescent="0.2">
      <c r="E156" s="83"/>
      <c r="F156" s="83"/>
      <c r="G156" s="83"/>
      <c r="H156" s="83"/>
      <c r="I156" s="83"/>
      <c r="J156" s="83"/>
      <c r="L156" s="28"/>
    </row>
    <row r="157" spans="5:12" ht="15.75" customHeight="1" x14ac:dyDescent="0.2">
      <c r="E157" s="83"/>
      <c r="F157" s="83"/>
      <c r="G157" s="83"/>
      <c r="H157" s="83"/>
      <c r="I157" s="83"/>
      <c r="J157" s="83"/>
      <c r="L157" s="28"/>
    </row>
    <row r="158" spans="5:12" ht="15.75" customHeight="1" x14ac:dyDescent="0.2">
      <c r="E158" s="83"/>
      <c r="F158" s="83"/>
      <c r="G158" s="83"/>
      <c r="H158" s="83"/>
      <c r="I158" s="83"/>
      <c r="J158" s="83"/>
      <c r="L158" s="28"/>
    </row>
    <row r="159" spans="5:12" ht="15.75" customHeight="1" x14ac:dyDescent="0.2">
      <c r="E159" s="83"/>
      <c r="F159" s="83"/>
      <c r="G159" s="83"/>
      <c r="H159" s="83"/>
      <c r="I159" s="83"/>
      <c r="J159" s="83"/>
      <c r="L159" s="28"/>
    </row>
    <row r="160" spans="5:12" ht="15.75" customHeight="1" x14ac:dyDescent="0.2">
      <c r="E160" s="83"/>
      <c r="F160" s="83"/>
      <c r="G160" s="83"/>
      <c r="H160" s="83"/>
      <c r="I160" s="83"/>
      <c r="J160" s="83"/>
      <c r="L160" s="28"/>
    </row>
    <row r="161" spans="5:12" ht="15.75" customHeight="1" x14ac:dyDescent="0.2">
      <c r="E161" s="83"/>
      <c r="F161" s="83"/>
      <c r="G161" s="83"/>
      <c r="H161" s="83"/>
      <c r="I161" s="83"/>
      <c r="J161" s="83"/>
      <c r="L161" s="28"/>
    </row>
    <row r="162" spans="5:12" ht="15.75" customHeight="1" x14ac:dyDescent="0.2">
      <c r="E162" s="83"/>
      <c r="F162" s="83"/>
      <c r="G162" s="83"/>
      <c r="H162" s="83"/>
      <c r="I162" s="83"/>
      <c r="J162" s="83"/>
      <c r="L162" s="28"/>
    </row>
    <row r="163" spans="5:12" ht="15.75" customHeight="1" x14ac:dyDescent="0.2">
      <c r="E163" s="83"/>
      <c r="F163" s="83"/>
      <c r="G163" s="83"/>
      <c r="H163" s="83"/>
      <c r="I163" s="83"/>
      <c r="J163" s="83"/>
      <c r="L163" s="28"/>
    </row>
    <row r="164" spans="5:12" ht="15.75" customHeight="1" x14ac:dyDescent="0.2">
      <c r="E164" s="83"/>
      <c r="F164" s="83"/>
      <c r="G164" s="83"/>
      <c r="H164" s="83"/>
      <c r="I164" s="83"/>
      <c r="J164" s="83"/>
      <c r="L164" s="28"/>
    </row>
    <row r="165" spans="5:12" ht="15.75" customHeight="1" x14ac:dyDescent="0.2">
      <c r="E165" s="83"/>
      <c r="F165" s="83"/>
      <c r="G165" s="83"/>
      <c r="H165" s="83"/>
      <c r="I165" s="83"/>
      <c r="J165" s="83"/>
      <c r="L165" s="28"/>
    </row>
    <row r="166" spans="5:12" ht="15.75" customHeight="1" x14ac:dyDescent="0.2">
      <c r="E166" s="83"/>
      <c r="F166" s="83"/>
      <c r="G166" s="83"/>
      <c r="H166" s="83"/>
      <c r="I166" s="83"/>
      <c r="J166" s="83"/>
      <c r="L166" s="28"/>
    </row>
    <row r="167" spans="5:12" ht="15.75" customHeight="1" x14ac:dyDescent="0.2">
      <c r="E167" s="83"/>
      <c r="F167" s="83"/>
      <c r="G167" s="83"/>
      <c r="H167" s="83"/>
      <c r="I167" s="83"/>
      <c r="J167" s="83"/>
      <c r="L167" s="28"/>
    </row>
    <row r="168" spans="5:12" ht="15.75" customHeight="1" x14ac:dyDescent="0.2">
      <c r="E168" s="83"/>
      <c r="F168" s="83"/>
      <c r="G168" s="83"/>
      <c r="H168" s="83"/>
      <c r="I168" s="83"/>
      <c r="J168" s="83"/>
      <c r="L168" s="28"/>
    </row>
    <row r="169" spans="5:12" ht="15.75" customHeight="1" x14ac:dyDescent="0.2">
      <c r="E169" s="83"/>
      <c r="F169" s="83"/>
      <c r="G169" s="83"/>
      <c r="H169" s="83"/>
      <c r="I169" s="83"/>
      <c r="J169" s="83"/>
      <c r="L169" s="28"/>
    </row>
    <row r="170" spans="5:12" ht="15.75" customHeight="1" x14ac:dyDescent="0.2">
      <c r="E170" s="83"/>
      <c r="F170" s="83"/>
      <c r="G170" s="83"/>
      <c r="H170" s="83"/>
      <c r="I170" s="83"/>
      <c r="J170" s="83"/>
      <c r="L170" s="28"/>
    </row>
    <row r="171" spans="5:12" ht="15.75" customHeight="1" x14ac:dyDescent="0.2">
      <c r="E171" s="83"/>
      <c r="F171" s="83"/>
      <c r="G171" s="83"/>
      <c r="H171" s="83"/>
      <c r="I171" s="83"/>
      <c r="J171" s="83"/>
      <c r="L171" s="28"/>
    </row>
    <row r="172" spans="5:12" ht="15.75" customHeight="1" x14ac:dyDescent="0.2">
      <c r="E172" s="83"/>
      <c r="F172" s="83"/>
      <c r="G172" s="83"/>
      <c r="H172" s="83"/>
      <c r="I172" s="83"/>
      <c r="J172" s="83"/>
      <c r="L172" s="28"/>
    </row>
    <row r="173" spans="5:12" ht="15.75" customHeight="1" x14ac:dyDescent="0.2">
      <c r="E173" s="83"/>
      <c r="F173" s="83"/>
      <c r="G173" s="83"/>
      <c r="H173" s="83"/>
      <c r="I173" s="83"/>
      <c r="J173" s="83"/>
      <c r="L173" s="28"/>
    </row>
    <row r="174" spans="5:12" ht="15.75" customHeight="1" x14ac:dyDescent="0.2">
      <c r="E174" s="83"/>
      <c r="F174" s="83"/>
      <c r="G174" s="83"/>
      <c r="H174" s="83"/>
      <c r="I174" s="83"/>
      <c r="J174" s="83"/>
      <c r="L174" s="28"/>
    </row>
    <row r="175" spans="5:12" ht="15.75" customHeight="1" x14ac:dyDescent="0.2">
      <c r="E175" s="83"/>
      <c r="F175" s="83"/>
      <c r="G175" s="83"/>
      <c r="H175" s="83"/>
      <c r="I175" s="83"/>
      <c r="J175" s="83"/>
      <c r="L175" s="28"/>
    </row>
    <row r="176" spans="5:12" ht="15.75" customHeight="1" x14ac:dyDescent="0.2">
      <c r="E176" s="83"/>
      <c r="F176" s="83"/>
      <c r="G176" s="83"/>
      <c r="H176" s="83"/>
      <c r="I176" s="83"/>
      <c r="J176" s="83"/>
      <c r="L176" s="28"/>
    </row>
    <row r="177" spans="5:12" ht="15.75" customHeight="1" x14ac:dyDescent="0.2">
      <c r="E177" s="83"/>
      <c r="F177" s="83"/>
      <c r="G177" s="83"/>
      <c r="H177" s="83"/>
      <c r="I177" s="83"/>
      <c r="J177" s="83"/>
      <c r="L177" s="28"/>
    </row>
    <row r="178" spans="5:12" ht="15.75" customHeight="1" x14ac:dyDescent="0.2">
      <c r="E178" s="83"/>
      <c r="F178" s="83"/>
      <c r="G178" s="83"/>
      <c r="H178" s="83"/>
      <c r="I178" s="83"/>
      <c r="J178" s="83"/>
      <c r="L178" s="28"/>
    </row>
    <row r="179" spans="5:12" ht="15.75" customHeight="1" x14ac:dyDescent="0.2">
      <c r="E179" s="83"/>
      <c r="F179" s="83"/>
      <c r="G179" s="83"/>
      <c r="H179" s="83"/>
      <c r="I179" s="83"/>
      <c r="J179" s="83"/>
      <c r="L179" s="28"/>
    </row>
    <row r="180" spans="5:12" ht="15.75" customHeight="1" x14ac:dyDescent="0.2">
      <c r="E180" s="83"/>
      <c r="F180" s="83"/>
      <c r="G180" s="83"/>
      <c r="H180" s="83"/>
      <c r="I180" s="83"/>
      <c r="J180" s="83"/>
      <c r="L180" s="28"/>
    </row>
    <row r="181" spans="5:12" ht="15.75" customHeight="1" x14ac:dyDescent="0.2">
      <c r="E181" s="83"/>
      <c r="F181" s="83"/>
      <c r="G181" s="83"/>
      <c r="H181" s="83"/>
      <c r="I181" s="83"/>
      <c r="J181" s="83"/>
      <c r="L181" s="28"/>
    </row>
    <row r="182" spans="5:12" ht="15.75" customHeight="1" x14ac:dyDescent="0.2">
      <c r="E182" s="83"/>
      <c r="F182" s="83"/>
      <c r="G182" s="83"/>
      <c r="H182" s="83"/>
      <c r="I182" s="83"/>
      <c r="J182" s="83"/>
      <c r="L182" s="28"/>
    </row>
    <row r="183" spans="5:12" ht="15.75" customHeight="1" x14ac:dyDescent="0.2">
      <c r="E183" s="83"/>
      <c r="F183" s="83"/>
      <c r="G183" s="83"/>
      <c r="H183" s="83"/>
      <c r="I183" s="83"/>
      <c r="J183" s="83"/>
      <c r="L183" s="28"/>
    </row>
    <row r="184" spans="5:12" ht="15.75" customHeight="1" x14ac:dyDescent="0.2">
      <c r="E184" s="83"/>
      <c r="F184" s="83"/>
      <c r="G184" s="83"/>
      <c r="H184" s="83"/>
      <c r="I184" s="83"/>
      <c r="J184" s="83"/>
      <c r="L184" s="28"/>
    </row>
    <row r="185" spans="5:12" ht="15.75" customHeight="1" x14ac:dyDescent="0.2">
      <c r="E185" s="83"/>
      <c r="F185" s="83"/>
      <c r="G185" s="83"/>
      <c r="H185" s="83"/>
      <c r="I185" s="83"/>
      <c r="J185" s="83"/>
      <c r="L185" s="28"/>
    </row>
    <row r="186" spans="5:12" ht="15.75" customHeight="1" x14ac:dyDescent="0.2">
      <c r="E186" s="83"/>
      <c r="F186" s="83"/>
      <c r="G186" s="83"/>
      <c r="H186" s="83"/>
      <c r="I186" s="83"/>
      <c r="J186" s="83"/>
      <c r="L186" s="28"/>
    </row>
    <row r="187" spans="5:12" ht="15.75" customHeight="1" x14ac:dyDescent="0.2">
      <c r="E187" s="83"/>
      <c r="F187" s="83"/>
      <c r="G187" s="83"/>
      <c r="H187" s="83"/>
      <c r="I187" s="83"/>
      <c r="J187" s="83"/>
      <c r="L187" s="28"/>
    </row>
    <row r="188" spans="5:12" ht="15.75" customHeight="1" x14ac:dyDescent="0.2">
      <c r="E188" s="83"/>
      <c r="F188" s="83"/>
      <c r="G188" s="83"/>
      <c r="H188" s="83"/>
      <c r="I188" s="83"/>
      <c r="J188" s="83"/>
      <c r="L188" s="28"/>
    </row>
    <row r="189" spans="5:12" ht="15.75" customHeight="1" x14ac:dyDescent="0.2">
      <c r="E189" s="83"/>
      <c r="F189" s="83"/>
      <c r="G189" s="83"/>
      <c r="H189" s="83"/>
      <c r="I189" s="83"/>
      <c r="J189" s="83"/>
      <c r="L189" s="28"/>
    </row>
    <row r="190" spans="5:12" ht="15.75" customHeight="1" x14ac:dyDescent="0.2">
      <c r="E190" s="83"/>
      <c r="F190" s="83"/>
      <c r="G190" s="83"/>
      <c r="H190" s="83"/>
      <c r="I190" s="83"/>
      <c r="J190" s="83"/>
      <c r="L190" s="28"/>
    </row>
    <row r="191" spans="5:12" ht="15.75" customHeight="1" x14ac:dyDescent="0.2">
      <c r="E191" s="83"/>
      <c r="F191" s="83"/>
      <c r="G191" s="83"/>
      <c r="H191" s="83"/>
      <c r="I191" s="83"/>
      <c r="J191" s="83"/>
      <c r="L191" s="28"/>
    </row>
    <row r="192" spans="5:12" ht="15.75" customHeight="1" x14ac:dyDescent="0.2">
      <c r="E192" s="83"/>
      <c r="F192" s="83"/>
      <c r="G192" s="83"/>
      <c r="H192" s="83"/>
      <c r="I192" s="83"/>
      <c r="J192" s="83"/>
      <c r="L192" s="28"/>
    </row>
    <row r="193" spans="5:12" ht="15.75" customHeight="1" x14ac:dyDescent="0.2">
      <c r="E193" s="83"/>
      <c r="F193" s="83"/>
      <c r="G193" s="83"/>
      <c r="H193" s="83"/>
      <c r="I193" s="83"/>
      <c r="J193" s="83"/>
      <c r="L193" s="28"/>
    </row>
    <row r="194" spans="5:12" ht="15.75" customHeight="1" x14ac:dyDescent="0.2">
      <c r="E194" s="83"/>
      <c r="F194" s="83"/>
      <c r="G194" s="83"/>
      <c r="H194" s="83"/>
      <c r="I194" s="83"/>
      <c r="J194" s="83"/>
      <c r="L194" s="28"/>
    </row>
    <row r="195" spans="5:12" ht="15.75" customHeight="1" x14ac:dyDescent="0.2">
      <c r="E195" s="83"/>
      <c r="F195" s="83"/>
      <c r="G195" s="83"/>
      <c r="H195" s="83"/>
      <c r="I195" s="83"/>
      <c r="J195" s="83"/>
      <c r="L195" s="28"/>
    </row>
    <row r="196" spans="5:12" ht="15.75" customHeight="1" x14ac:dyDescent="0.2">
      <c r="E196" s="83"/>
      <c r="F196" s="83"/>
      <c r="G196" s="83"/>
      <c r="H196" s="83"/>
      <c r="I196" s="83"/>
      <c r="J196" s="83"/>
      <c r="L196" s="28"/>
    </row>
    <row r="197" spans="5:12" ht="15.75" customHeight="1" x14ac:dyDescent="0.2">
      <c r="E197" s="83"/>
      <c r="F197" s="83"/>
      <c r="G197" s="83"/>
      <c r="H197" s="83"/>
      <c r="I197" s="83"/>
      <c r="J197" s="83"/>
      <c r="L197" s="28"/>
    </row>
    <row r="198" spans="5:12" ht="15.75" customHeight="1" x14ac:dyDescent="0.2">
      <c r="E198" s="83"/>
      <c r="F198" s="83"/>
      <c r="G198" s="83"/>
      <c r="H198" s="83"/>
      <c r="I198" s="83"/>
      <c r="J198" s="83"/>
      <c r="L198" s="28"/>
    </row>
    <row r="199" spans="5:12" ht="15.75" customHeight="1" x14ac:dyDescent="0.2">
      <c r="E199" s="83"/>
      <c r="F199" s="83"/>
      <c r="G199" s="83"/>
      <c r="H199" s="83"/>
      <c r="I199" s="83"/>
      <c r="J199" s="83"/>
      <c r="L199" s="28"/>
    </row>
    <row r="200" spans="5:12" ht="15.75" customHeight="1" x14ac:dyDescent="0.2">
      <c r="E200" s="83"/>
      <c r="F200" s="83"/>
      <c r="G200" s="83"/>
      <c r="H200" s="83"/>
      <c r="I200" s="83"/>
      <c r="J200" s="83"/>
      <c r="L200" s="28"/>
    </row>
    <row r="201" spans="5:12" ht="15.75" customHeight="1" x14ac:dyDescent="0.2">
      <c r="E201" s="83"/>
      <c r="F201" s="83"/>
      <c r="G201" s="83"/>
      <c r="H201" s="83"/>
      <c r="I201" s="83"/>
      <c r="J201" s="83"/>
      <c r="L201" s="28"/>
    </row>
    <row r="202" spans="5:12" ht="15.75" customHeight="1" x14ac:dyDescent="0.2">
      <c r="E202" s="83"/>
      <c r="F202" s="83"/>
      <c r="G202" s="83"/>
      <c r="H202" s="83"/>
      <c r="I202" s="83"/>
      <c r="J202" s="83"/>
      <c r="L202" s="28"/>
    </row>
    <row r="203" spans="5:12" ht="15.75" customHeight="1" x14ac:dyDescent="0.2">
      <c r="E203" s="83"/>
      <c r="F203" s="83"/>
      <c r="G203" s="83"/>
      <c r="H203" s="83"/>
      <c r="I203" s="83"/>
      <c r="J203" s="83"/>
      <c r="L203" s="28"/>
    </row>
    <row r="204" spans="5:12" ht="15.75" customHeight="1" x14ac:dyDescent="0.2">
      <c r="E204" s="83"/>
      <c r="F204" s="83"/>
      <c r="G204" s="83"/>
      <c r="H204" s="83"/>
      <c r="I204" s="83"/>
      <c r="J204" s="83"/>
      <c r="L204" s="28"/>
    </row>
    <row r="205" spans="5:12" ht="15.75" customHeight="1" x14ac:dyDescent="0.2">
      <c r="E205" s="83"/>
      <c r="F205" s="83"/>
      <c r="G205" s="83"/>
      <c r="H205" s="83"/>
      <c r="I205" s="83"/>
      <c r="J205" s="83"/>
      <c r="L205" s="28"/>
    </row>
    <row r="206" spans="5:12" ht="15.75" customHeight="1" x14ac:dyDescent="0.2">
      <c r="E206" s="83"/>
      <c r="F206" s="83"/>
      <c r="G206" s="83"/>
      <c r="H206" s="83"/>
      <c r="I206" s="83"/>
      <c r="J206" s="83"/>
      <c r="L206" s="28"/>
    </row>
    <row r="207" spans="5:12" ht="15.75" customHeight="1" x14ac:dyDescent="0.2">
      <c r="E207" s="83"/>
      <c r="F207" s="83"/>
      <c r="G207" s="83"/>
      <c r="H207" s="83"/>
      <c r="I207" s="83"/>
      <c r="J207" s="83"/>
      <c r="L207" s="28"/>
    </row>
    <row r="208" spans="5:12" ht="15.75" customHeight="1" x14ac:dyDescent="0.2">
      <c r="E208" s="83"/>
      <c r="F208" s="83"/>
      <c r="G208" s="83"/>
      <c r="H208" s="83"/>
      <c r="I208" s="83"/>
      <c r="J208" s="83"/>
      <c r="L208" s="28"/>
    </row>
    <row r="209" spans="5:12" ht="15.75" customHeight="1" x14ac:dyDescent="0.2">
      <c r="E209" s="83"/>
      <c r="F209" s="83"/>
      <c r="G209" s="83"/>
      <c r="H209" s="83"/>
      <c r="I209" s="83"/>
      <c r="J209" s="83"/>
      <c r="L209" s="28"/>
    </row>
    <row r="210" spans="5:12" ht="15.75" customHeight="1" x14ac:dyDescent="0.2">
      <c r="E210" s="83"/>
      <c r="F210" s="83"/>
      <c r="G210" s="83"/>
      <c r="H210" s="83"/>
      <c r="I210" s="83"/>
      <c r="J210" s="83"/>
      <c r="L210" s="28"/>
    </row>
    <row r="211" spans="5:12" ht="15.75" customHeight="1" x14ac:dyDescent="0.2">
      <c r="E211" s="83"/>
      <c r="F211" s="83"/>
      <c r="G211" s="83"/>
      <c r="H211" s="83"/>
      <c r="I211" s="83"/>
      <c r="J211" s="83"/>
      <c r="L211" s="28"/>
    </row>
    <row r="212" spans="5:12" ht="15.75" customHeight="1" x14ac:dyDescent="0.2">
      <c r="E212" s="83"/>
      <c r="F212" s="83"/>
      <c r="G212" s="83"/>
      <c r="H212" s="83"/>
      <c r="I212" s="83"/>
      <c r="J212" s="83"/>
      <c r="L212" s="28"/>
    </row>
    <row r="213" spans="5:12" ht="15.75" customHeight="1" x14ac:dyDescent="0.2">
      <c r="E213" s="83"/>
      <c r="F213" s="83"/>
      <c r="G213" s="83"/>
      <c r="H213" s="83"/>
      <c r="I213" s="83"/>
      <c r="J213" s="83"/>
      <c r="L213" s="28"/>
    </row>
    <row r="214" spans="5:12" ht="15.75" customHeight="1" x14ac:dyDescent="0.2">
      <c r="E214" s="83"/>
      <c r="F214" s="83"/>
      <c r="G214" s="83"/>
      <c r="H214" s="83"/>
      <c r="I214" s="83"/>
      <c r="J214" s="83"/>
      <c r="L214" s="28"/>
    </row>
    <row r="215" spans="5:12" ht="15.75" customHeight="1" x14ac:dyDescent="0.2">
      <c r="E215" s="83"/>
      <c r="F215" s="83"/>
      <c r="G215" s="83"/>
      <c r="H215" s="83"/>
      <c r="I215" s="83"/>
      <c r="J215" s="83"/>
      <c r="L215" s="28"/>
    </row>
    <row r="216" spans="5:12" ht="15.75" customHeight="1" x14ac:dyDescent="0.2">
      <c r="E216" s="83"/>
      <c r="F216" s="83"/>
      <c r="G216" s="83"/>
      <c r="H216" s="83"/>
      <c r="I216" s="83"/>
      <c r="J216" s="83"/>
      <c r="L216" s="28"/>
    </row>
    <row r="217" spans="5:12" ht="15.75" customHeight="1" x14ac:dyDescent="0.2">
      <c r="E217" s="83"/>
      <c r="F217" s="83"/>
      <c r="G217" s="83"/>
      <c r="H217" s="83"/>
      <c r="I217" s="83"/>
      <c r="J217" s="83"/>
      <c r="L217" s="28"/>
    </row>
    <row r="218" spans="5:12" ht="15.75" customHeight="1" x14ac:dyDescent="0.2">
      <c r="E218" s="83"/>
      <c r="F218" s="83"/>
      <c r="G218" s="83"/>
      <c r="H218" s="83"/>
      <c r="I218" s="83"/>
      <c r="J218" s="83"/>
      <c r="L218" s="28"/>
    </row>
    <row r="219" spans="5:12" ht="15.75" customHeight="1" x14ac:dyDescent="0.2">
      <c r="E219" s="83"/>
      <c r="F219" s="83"/>
      <c r="G219" s="83"/>
      <c r="H219" s="83"/>
      <c r="I219" s="83"/>
      <c r="J219" s="83"/>
      <c r="L219" s="28"/>
    </row>
    <row r="220" spans="5:12" ht="15.75" customHeight="1" x14ac:dyDescent="0.2">
      <c r="E220" s="83"/>
      <c r="F220" s="83"/>
      <c r="G220" s="83"/>
      <c r="H220" s="83"/>
      <c r="I220" s="83"/>
      <c r="J220" s="83"/>
      <c r="L220" s="28"/>
    </row>
    <row r="221" spans="5:12" ht="15.75" customHeight="1" x14ac:dyDescent="0.2">
      <c r="E221" s="83"/>
      <c r="F221" s="83"/>
      <c r="G221" s="83"/>
      <c r="H221" s="83"/>
      <c r="I221" s="83"/>
      <c r="J221" s="83"/>
      <c r="L221" s="28"/>
    </row>
    <row r="222" spans="5:12" ht="15.75" customHeight="1" x14ac:dyDescent="0.2">
      <c r="E222" s="83"/>
      <c r="F222" s="83"/>
      <c r="G222" s="83"/>
      <c r="H222" s="83"/>
      <c r="I222" s="83"/>
      <c r="J222" s="83"/>
      <c r="L222" s="28"/>
    </row>
    <row r="223" spans="5:12" ht="15.75" customHeight="1" x14ac:dyDescent="0.2">
      <c r="E223" s="83"/>
      <c r="F223" s="83"/>
      <c r="G223" s="83"/>
      <c r="H223" s="83"/>
      <c r="I223" s="83"/>
      <c r="J223" s="83"/>
      <c r="L223" s="28"/>
    </row>
    <row r="224" spans="5:12" ht="15.75" customHeight="1" x14ac:dyDescent="0.2">
      <c r="E224" s="83"/>
      <c r="F224" s="83"/>
      <c r="G224" s="83"/>
      <c r="H224" s="83"/>
      <c r="I224" s="83"/>
      <c r="J224" s="83"/>
      <c r="L224" s="28"/>
    </row>
    <row r="225" spans="5:12" ht="15.75" customHeight="1" x14ac:dyDescent="0.2">
      <c r="E225" s="83"/>
      <c r="F225" s="83"/>
      <c r="G225" s="83"/>
      <c r="H225" s="83"/>
      <c r="I225" s="83"/>
      <c r="J225" s="83"/>
      <c r="L225" s="28"/>
    </row>
    <row r="226" spans="5:12" ht="15.75" customHeight="1" x14ac:dyDescent="0.2">
      <c r="E226" s="83"/>
      <c r="F226" s="83"/>
      <c r="G226" s="83"/>
      <c r="H226" s="83"/>
      <c r="I226" s="83"/>
      <c r="J226" s="83"/>
      <c r="L226" s="28"/>
    </row>
    <row r="227" spans="5:12" ht="15.75" customHeight="1" x14ac:dyDescent="0.2">
      <c r="E227" s="83"/>
      <c r="F227" s="83"/>
      <c r="G227" s="83"/>
      <c r="H227" s="83"/>
      <c r="I227" s="83"/>
      <c r="J227" s="83"/>
      <c r="L227" s="28"/>
    </row>
    <row r="228" spans="5:12" ht="15.75" customHeight="1" x14ac:dyDescent="0.2">
      <c r="E228" s="83"/>
      <c r="F228" s="83"/>
      <c r="G228" s="83"/>
      <c r="H228" s="83"/>
      <c r="I228" s="83"/>
      <c r="J228" s="83"/>
      <c r="L228" s="28"/>
    </row>
    <row r="229" spans="5:12" ht="15.75" customHeight="1" x14ac:dyDescent="0.2">
      <c r="E229" s="83"/>
      <c r="F229" s="83"/>
      <c r="G229" s="83"/>
      <c r="H229" s="83"/>
      <c r="I229" s="83"/>
      <c r="J229" s="83"/>
      <c r="L229" s="28"/>
    </row>
    <row r="230" spans="5:12" ht="15.75" customHeight="1" x14ac:dyDescent="0.2">
      <c r="E230" s="83"/>
      <c r="F230" s="83"/>
      <c r="G230" s="83"/>
      <c r="H230" s="83"/>
      <c r="I230" s="83"/>
      <c r="J230" s="83"/>
      <c r="L230" s="28"/>
    </row>
    <row r="231" spans="5:12" ht="15.75" customHeight="1" x14ac:dyDescent="0.2">
      <c r="E231" s="83"/>
      <c r="F231" s="83"/>
      <c r="G231" s="83"/>
      <c r="H231" s="83"/>
      <c r="I231" s="83"/>
      <c r="J231" s="83"/>
      <c r="L231" s="28"/>
    </row>
    <row r="232" spans="5:12" ht="15.75" customHeight="1" x14ac:dyDescent="0.2">
      <c r="E232" s="83"/>
      <c r="F232" s="83"/>
      <c r="G232" s="83"/>
      <c r="H232" s="83"/>
      <c r="I232" s="83"/>
      <c r="J232" s="83"/>
      <c r="L232" s="28"/>
    </row>
    <row r="233" spans="5:12" ht="15.75" customHeight="1" x14ac:dyDescent="0.2">
      <c r="E233" s="83"/>
      <c r="F233" s="83"/>
      <c r="G233" s="83"/>
      <c r="H233" s="83"/>
      <c r="I233" s="83"/>
      <c r="J233" s="83"/>
      <c r="L233" s="28"/>
    </row>
    <row r="234" spans="5:12" ht="15.75" customHeight="1" x14ac:dyDescent="0.2">
      <c r="E234" s="83"/>
      <c r="F234" s="83"/>
      <c r="G234" s="83"/>
      <c r="H234" s="83"/>
      <c r="I234" s="83"/>
      <c r="J234" s="83"/>
      <c r="L234" s="28"/>
    </row>
    <row r="235" spans="5:12" ht="15.75" customHeight="1" x14ac:dyDescent="0.2">
      <c r="E235" s="83"/>
      <c r="F235" s="83"/>
      <c r="G235" s="83"/>
      <c r="H235" s="83"/>
      <c r="I235" s="83"/>
      <c r="J235" s="83"/>
      <c r="L235" s="28"/>
    </row>
    <row r="236" spans="5:12" ht="15.75" customHeight="1" x14ac:dyDescent="0.2">
      <c r="E236" s="83"/>
      <c r="F236" s="83"/>
      <c r="G236" s="83"/>
      <c r="H236" s="83"/>
      <c r="I236" s="83"/>
      <c r="J236" s="83"/>
      <c r="L236" s="28"/>
    </row>
    <row r="237" spans="5:12" ht="15.75" customHeight="1" x14ac:dyDescent="0.2">
      <c r="E237" s="83"/>
      <c r="F237" s="83"/>
      <c r="G237" s="83"/>
      <c r="H237" s="83"/>
      <c r="I237" s="83"/>
      <c r="J237" s="83"/>
      <c r="L237" s="28"/>
    </row>
    <row r="238" spans="5:12" ht="15.75" customHeight="1" x14ac:dyDescent="0.2">
      <c r="E238" s="83"/>
      <c r="F238" s="83"/>
      <c r="G238" s="83"/>
      <c r="H238" s="83"/>
      <c r="I238" s="83"/>
      <c r="J238" s="83"/>
      <c r="L238" s="28"/>
    </row>
    <row r="239" spans="5:12" ht="15.75" customHeight="1" x14ac:dyDescent="0.2">
      <c r="E239" s="83"/>
      <c r="F239" s="83"/>
      <c r="G239" s="83"/>
      <c r="H239" s="83"/>
      <c r="I239" s="83"/>
      <c r="J239" s="83"/>
      <c r="L239" s="28"/>
    </row>
    <row r="240" spans="5:12" ht="15.75" customHeight="1" x14ac:dyDescent="0.2">
      <c r="E240" s="83"/>
      <c r="F240" s="83"/>
      <c r="G240" s="83"/>
      <c r="H240" s="83"/>
      <c r="I240" s="83"/>
      <c r="J240" s="83"/>
      <c r="L240" s="28"/>
    </row>
    <row r="241" spans="5:12" ht="15.75" customHeight="1" x14ac:dyDescent="0.2">
      <c r="E241" s="83"/>
      <c r="F241" s="83"/>
      <c r="G241" s="83"/>
      <c r="H241" s="83"/>
      <c r="I241" s="83"/>
      <c r="J241" s="83"/>
      <c r="L241" s="28"/>
    </row>
    <row r="242" spans="5:12" ht="15.75" customHeight="1" x14ac:dyDescent="0.2">
      <c r="E242" s="83"/>
      <c r="F242" s="83"/>
      <c r="G242" s="83"/>
      <c r="H242" s="83"/>
      <c r="I242" s="83"/>
      <c r="J242" s="83"/>
      <c r="L242" s="28"/>
    </row>
    <row r="243" spans="5:12" ht="15.75" customHeight="1" x14ac:dyDescent="0.2">
      <c r="E243" s="83"/>
      <c r="F243" s="83"/>
      <c r="G243" s="83"/>
      <c r="H243" s="83"/>
      <c r="I243" s="83"/>
      <c r="J243" s="83"/>
      <c r="L243" s="28"/>
    </row>
    <row r="244" spans="5:12" ht="15.75" customHeight="1" x14ac:dyDescent="0.2">
      <c r="E244" s="83"/>
      <c r="F244" s="83"/>
      <c r="G244" s="83"/>
      <c r="H244" s="83"/>
      <c r="I244" s="83"/>
      <c r="J244" s="83"/>
      <c r="L244" s="28"/>
    </row>
    <row r="245" spans="5:12" ht="15.75" customHeight="1" x14ac:dyDescent="0.2">
      <c r="E245" s="83"/>
      <c r="F245" s="83"/>
      <c r="G245" s="83"/>
      <c r="H245" s="83"/>
      <c r="I245" s="83"/>
      <c r="J245" s="83"/>
      <c r="L245" s="28"/>
    </row>
    <row r="246" spans="5:12" ht="15.75" customHeight="1" x14ac:dyDescent="0.2">
      <c r="E246" s="83"/>
      <c r="F246" s="83"/>
      <c r="G246" s="83"/>
      <c r="H246" s="83"/>
      <c r="I246" s="83"/>
      <c r="J246" s="83"/>
      <c r="L246" s="28"/>
    </row>
    <row r="247" spans="5:12" ht="15.75" customHeight="1" x14ac:dyDescent="0.2">
      <c r="E247" s="83"/>
      <c r="F247" s="83"/>
      <c r="G247" s="83"/>
      <c r="H247" s="83"/>
      <c r="I247" s="83"/>
      <c r="J247" s="83"/>
      <c r="L247" s="28"/>
    </row>
    <row r="248" spans="5:12" ht="15.75" customHeight="1" x14ac:dyDescent="0.2">
      <c r="E248" s="83"/>
      <c r="F248" s="83"/>
      <c r="G248" s="83"/>
      <c r="H248" s="83"/>
      <c r="I248" s="83"/>
      <c r="J248" s="83"/>
      <c r="L248" s="28"/>
    </row>
    <row r="249" spans="5:12" ht="15.75" customHeight="1" x14ac:dyDescent="0.2">
      <c r="E249" s="83"/>
      <c r="F249" s="83"/>
      <c r="G249" s="83"/>
      <c r="H249" s="83"/>
      <c r="I249" s="83"/>
      <c r="J249" s="83"/>
      <c r="L249" s="28"/>
    </row>
    <row r="250" spans="5:12" ht="15.75" customHeight="1" x14ac:dyDescent="0.2">
      <c r="E250" s="83"/>
      <c r="F250" s="83"/>
      <c r="G250" s="83"/>
      <c r="H250" s="83"/>
      <c r="I250" s="83"/>
      <c r="J250" s="83"/>
      <c r="L250" s="28"/>
    </row>
    <row r="251" spans="5:12" ht="15.75" customHeight="1" x14ac:dyDescent="0.2">
      <c r="E251" s="83"/>
      <c r="F251" s="83"/>
      <c r="G251" s="83"/>
      <c r="H251" s="83"/>
      <c r="I251" s="83"/>
      <c r="J251" s="83"/>
      <c r="L251" s="28"/>
    </row>
    <row r="252" spans="5:12" ht="15.75" customHeight="1" x14ac:dyDescent="0.2">
      <c r="E252" s="83"/>
      <c r="F252" s="83"/>
      <c r="G252" s="83"/>
      <c r="H252" s="83"/>
      <c r="I252" s="83"/>
      <c r="J252" s="83"/>
      <c r="L252" s="28"/>
    </row>
    <row r="253" spans="5:12" ht="15.75" customHeight="1" x14ac:dyDescent="0.2">
      <c r="E253" s="83"/>
      <c r="F253" s="83"/>
      <c r="G253" s="83"/>
      <c r="H253" s="83"/>
      <c r="I253" s="83"/>
      <c r="J253" s="83"/>
      <c r="L253" s="28"/>
    </row>
    <row r="254" spans="5:12" ht="15.75" customHeight="1" x14ac:dyDescent="0.2">
      <c r="E254" s="83"/>
      <c r="F254" s="83"/>
      <c r="G254" s="83"/>
      <c r="H254" s="83"/>
      <c r="I254" s="83"/>
      <c r="J254" s="83"/>
      <c r="L254" s="28"/>
    </row>
    <row r="255" spans="5:12" ht="15.75" customHeight="1" x14ac:dyDescent="0.2">
      <c r="E255" s="83"/>
      <c r="F255" s="83"/>
      <c r="G255" s="83"/>
      <c r="H255" s="83"/>
      <c r="I255" s="83"/>
      <c r="J255" s="83"/>
      <c r="L255" s="28"/>
    </row>
    <row r="256" spans="5:12" ht="15.75" customHeight="1" x14ac:dyDescent="0.2">
      <c r="E256" s="83"/>
      <c r="F256" s="83"/>
      <c r="G256" s="83"/>
      <c r="H256" s="83"/>
      <c r="I256" s="83"/>
      <c r="J256" s="83"/>
      <c r="L256" s="28"/>
    </row>
    <row r="257" spans="5:12" ht="15.75" customHeight="1" x14ac:dyDescent="0.2">
      <c r="E257" s="83"/>
      <c r="F257" s="83"/>
      <c r="G257" s="83"/>
      <c r="H257" s="83"/>
      <c r="I257" s="83"/>
      <c r="J257" s="83"/>
      <c r="L257" s="28"/>
    </row>
    <row r="258" spans="5:12" ht="15.75" customHeight="1" x14ac:dyDescent="0.2">
      <c r="E258" s="83"/>
      <c r="F258" s="83"/>
      <c r="G258" s="83"/>
      <c r="H258" s="83"/>
      <c r="I258" s="83"/>
      <c r="J258" s="83"/>
      <c r="L258" s="28"/>
    </row>
    <row r="259" spans="5:12" ht="15.75" customHeight="1" x14ac:dyDescent="0.2">
      <c r="E259" s="83"/>
      <c r="F259" s="83"/>
      <c r="G259" s="83"/>
      <c r="H259" s="83"/>
      <c r="I259" s="83"/>
      <c r="J259" s="83"/>
      <c r="L259" s="28"/>
    </row>
    <row r="260" spans="5:12" ht="15.75" customHeight="1" x14ac:dyDescent="0.2">
      <c r="E260" s="83"/>
      <c r="F260" s="83"/>
      <c r="G260" s="83"/>
      <c r="H260" s="83"/>
      <c r="I260" s="83"/>
      <c r="J260" s="83"/>
      <c r="L260" s="28"/>
    </row>
    <row r="261" spans="5:12" ht="15.75" customHeight="1" x14ac:dyDescent="0.2">
      <c r="E261" s="83"/>
      <c r="F261" s="83"/>
      <c r="G261" s="83"/>
      <c r="H261" s="83"/>
      <c r="I261" s="83"/>
      <c r="J261" s="83"/>
      <c r="L261" s="28"/>
    </row>
    <row r="262" spans="5:12" ht="15.75" customHeight="1" x14ac:dyDescent="0.2">
      <c r="E262" s="83"/>
      <c r="F262" s="83"/>
      <c r="G262" s="83"/>
      <c r="H262" s="83"/>
      <c r="I262" s="83"/>
      <c r="J262" s="83"/>
      <c r="L262" s="28"/>
    </row>
    <row r="263" spans="5:12" ht="15.75" customHeight="1" x14ac:dyDescent="0.2">
      <c r="E263" s="83"/>
      <c r="F263" s="83"/>
      <c r="G263" s="83"/>
      <c r="H263" s="83"/>
      <c r="I263" s="83"/>
      <c r="J263" s="83"/>
      <c r="L263" s="28"/>
    </row>
    <row r="264" spans="5:12" ht="15.75" customHeight="1" x14ac:dyDescent="0.2">
      <c r="E264" s="83"/>
      <c r="F264" s="83"/>
      <c r="G264" s="83"/>
      <c r="H264" s="83"/>
      <c r="I264" s="83"/>
      <c r="J264" s="83"/>
      <c r="L264" s="28"/>
    </row>
    <row r="265" spans="5:12" ht="15.75" customHeight="1" x14ac:dyDescent="0.2">
      <c r="E265" s="83"/>
      <c r="F265" s="83"/>
      <c r="G265" s="83"/>
      <c r="H265" s="83"/>
      <c r="I265" s="83"/>
      <c r="J265" s="83"/>
      <c r="L265" s="28"/>
    </row>
    <row r="266" spans="5:12" ht="15.75" customHeight="1" x14ac:dyDescent="0.2">
      <c r="E266" s="83"/>
      <c r="F266" s="83"/>
      <c r="G266" s="83"/>
      <c r="H266" s="83"/>
      <c r="I266" s="83"/>
      <c r="J266" s="83"/>
      <c r="L266" s="28"/>
    </row>
    <row r="267" spans="5:12" ht="15.75" customHeight="1" x14ac:dyDescent="0.2">
      <c r="E267" s="83"/>
      <c r="F267" s="83"/>
      <c r="G267" s="83"/>
      <c r="H267" s="83"/>
      <c r="I267" s="83"/>
      <c r="J267" s="83"/>
      <c r="L267" s="28"/>
    </row>
    <row r="268" spans="5:12" ht="15.75" customHeight="1" x14ac:dyDescent="0.2">
      <c r="E268" s="83"/>
      <c r="F268" s="83"/>
      <c r="G268" s="83"/>
      <c r="H268" s="83"/>
      <c r="I268" s="83"/>
      <c r="J268" s="83"/>
      <c r="L268" s="28"/>
    </row>
    <row r="269" spans="5:12" ht="15.75" customHeight="1" x14ac:dyDescent="0.2">
      <c r="E269" s="83"/>
      <c r="F269" s="83"/>
      <c r="G269" s="83"/>
      <c r="H269" s="83"/>
      <c r="I269" s="83"/>
      <c r="J269" s="83"/>
      <c r="L269" s="28"/>
    </row>
    <row r="270" spans="5:12" ht="15.75" customHeight="1" x14ac:dyDescent="0.2">
      <c r="E270" s="83"/>
      <c r="F270" s="83"/>
      <c r="G270" s="83"/>
      <c r="H270" s="83"/>
      <c r="I270" s="83"/>
      <c r="J270" s="83"/>
      <c r="L270" s="28"/>
    </row>
    <row r="271" spans="5:12" ht="15.75" customHeight="1" x14ac:dyDescent="0.2">
      <c r="E271" s="83"/>
      <c r="F271" s="83"/>
      <c r="G271" s="83"/>
      <c r="H271" s="83"/>
      <c r="I271" s="83"/>
      <c r="J271" s="83"/>
      <c r="L271" s="28"/>
    </row>
    <row r="272" spans="5:12" ht="15.75" customHeight="1" x14ac:dyDescent="0.2">
      <c r="E272" s="83"/>
      <c r="F272" s="83"/>
      <c r="G272" s="83"/>
      <c r="H272" s="83"/>
      <c r="I272" s="83"/>
      <c r="J272" s="83"/>
      <c r="L272" s="28"/>
    </row>
    <row r="273" spans="5:12" ht="15.75" customHeight="1" x14ac:dyDescent="0.2">
      <c r="E273" s="83"/>
      <c r="F273" s="83"/>
      <c r="G273" s="83"/>
      <c r="H273" s="83"/>
      <c r="I273" s="83"/>
      <c r="J273" s="83"/>
      <c r="L273" s="28"/>
    </row>
    <row r="274" spans="5:12" ht="15.75" customHeight="1" x14ac:dyDescent="0.2">
      <c r="E274" s="83"/>
      <c r="F274" s="83"/>
      <c r="G274" s="83"/>
      <c r="H274" s="83"/>
      <c r="I274" s="83"/>
      <c r="J274" s="83"/>
      <c r="L274" s="28"/>
    </row>
    <row r="275" spans="5:12" ht="15.75" customHeight="1" x14ac:dyDescent="0.2">
      <c r="E275" s="83"/>
      <c r="F275" s="83"/>
      <c r="G275" s="83"/>
      <c r="H275" s="83"/>
      <c r="I275" s="83"/>
      <c r="J275" s="83"/>
      <c r="L275" s="28"/>
    </row>
    <row r="276" spans="5:12" ht="15.75" customHeight="1" x14ac:dyDescent="0.2">
      <c r="E276" s="83"/>
      <c r="F276" s="83"/>
      <c r="G276" s="83"/>
      <c r="H276" s="83"/>
      <c r="I276" s="83"/>
      <c r="J276" s="83"/>
      <c r="L276" s="28"/>
    </row>
    <row r="277" spans="5:12" ht="15.75" customHeight="1" x14ac:dyDescent="0.2">
      <c r="E277" s="83"/>
      <c r="F277" s="83"/>
      <c r="G277" s="83"/>
      <c r="H277" s="83"/>
      <c r="I277" s="83"/>
      <c r="J277" s="83"/>
      <c r="L277" s="28"/>
    </row>
    <row r="278" spans="5:12" ht="15.75" customHeight="1" x14ac:dyDescent="0.2">
      <c r="E278" s="83"/>
      <c r="F278" s="83"/>
      <c r="G278" s="83"/>
      <c r="H278" s="83"/>
      <c r="I278" s="83"/>
      <c r="J278" s="83"/>
      <c r="L278" s="28"/>
    </row>
    <row r="279" spans="5:12" ht="15.75" customHeight="1" x14ac:dyDescent="0.2">
      <c r="E279" s="83"/>
      <c r="F279" s="83"/>
      <c r="G279" s="83"/>
      <c r="H279" s="83"/>
      <c r="I279" s="83"/>
      <c r="J279" s="83"/>
      <c r="L279" s="28"/>
    </row>
    <row r="280" spans="5:12" ht="15.75" customHeight="1" x14ac:dyDescent="0.2">
      <c r="E280" s="83"/>
      <c r="F280" s="83"/>
      <c r="G280" s="83"/>
      <c r="H280" s="83"/>
      <c r="I280" s="83"/>
      <c r="J280" s="83"/>
      <c r="L280" s="28"/>
    </row>
    <row r="281" spans="5:12" ht="15.75" customHeight="1" x14ac:dyDescent="0.2">
      <c r="E281" s="83"/>
      <c r="F281" s="83"/>
      <c r="G281" s="83"/>
      <c r="H281" s="83"/>
      <c r="I281" s="83"/>
      <c r="J281" s="83"/>
      <c r="L281" s="28"/>
    </row>
    <row r="282" spans="5:12" ht="15.75" customHeight="1" x14ac:dyDescent="0.2">
      <c r="E282" s="83"/>
      <c r="F282" s="83"/>
      <c r="G282" s="83"/>
      <c r="H282" s="83"/>
      <c r="I282" s="83"/>
      <c r="J282" s="83"/>
      <c r="L282" s="28"/>
    </row>
    <row r="283" spans="5:12" ht="15.75" customHeight="1" x14ac:dyDescent="0.2">
      <c r="E283" s="83"/>
      <c r="F283" s="83"/>
      <c r="G283" s="83"/>
      <c r="H283" s="83"/>
      <c r="I283" s="83"/>
      <c r="J283" s="83"/>
      <c r="L283" s="28"/>
    </row>
    <row r="284" spans="5:12" ht="15.75" customHeight="1" x14ac:dyDescent="0.2">
      <c r="E284" s="83"/>
      <c r="F284" s="83"/>
      <c r="G284" s="83"/>
      <c r="H284" s="83"/>
      <c r="I284" s="83"/>
      <c r="J284" s="83"/>
      <c r="L284" s="28"/>
    </row>
    <row r="285" spans="5:12" ht="15.75" customHeight="1" x14ac:dyDescent="0.2">
      <c r="E285" s="83"/>
      <c r="F285" s="83"/>
      <c r="G285" s="83"/>
      <c r="H285" s="83"/>
      <c r="I285" s="83"/>
      <c r="J285" s="83"/>
      <c r="L285" s="28"/>
    </row>
    <row r="286" spans="5:12" ht="15.75" customHeight="1" x14ac:dyDescent="0.2">
      <c r="E286" s="83"/>
      <c r="F286" s="83"/>
      <c r="G286" s="83"/>
      <c r="H286" s="83"/>
      <c r="I286" s="83"/>
      <c r="J286" s="83"/>
      <c r="L286" s="28"/>
    </row>
    <row r="287" spans="5:12" ht="15.75" customHeight="1" x14ac:dyDescent="0.2">
      <c r="E287" s="83"/>
      <c r="F287" s="83"/>
      <c r="G287" s="83"/>
      <c r="H287" s="83"/>
      <c r="I287" s="83"/>
      <c r="J287" s="83"/>
      <c r="L287" s="28"/>
    </row>
    <row r="288" spans="5:12" ht="15.75" customHeight="1" x14ac:dyDescent="0.2">
      <c r="E288" s="83"/>
      <c r="F288" s="83"/>
      <c r="G288" s="83"/>
      <c r="H288" s="83"/>
      <c r="I288" s="83"/>
      <c r="J288" s="83"/>
      <c r="L288" s="28"/>
    </row>
    <row r="289" spans="5:12" ht="15.75" customHeight="1" x14ac:dyDescent="0.2">
      <c r="E289" s="83"/>
      <c r="F289" s="83"/>
      <c r="G289" s="83"/>
      <c r="H289" s="83"/>
      <c r="I289" s="83"/>
      <c r="J289" s="83"/>
      <c r="L289" s="28"/>
    </row>
    <row r="290" spans="5:12" ht="15.75" customHeight="1" x14ac:dyDescent="0.2">
      <c r="E290" s="83"/>
      <c r="F290" s="83"/>
      <c r="G290" s="83"/>
      <c r="H290" s="83"/>
      <c r="I290" s="83"/>
      <c r="J290" s="83"/>
      <c r="L290" s="28"/>
    </row>
    <row r="291" spans="5:12" ht="15.75" customHeight="1" x14ac:dyDescent="0.2">
      <c r="E291" s="83"/>
      <c r="F291" s="83"/>
      <c r="G291" s="83"/>
      <c r="H291" s="83"/>
      <c r="I291" s="83"/>
      <c r="J291" s="83"/>
      <c r="L291" s="28"/>
    </row>
    <row r="292" spans="5:12" ht="15.75" customHeight="1" x14ac:dyDescent="0.2">
      <c r="E292" s="83"/>
      <c r="F292" s="83"/>
      <c r="G292" s="83"/>
      <c r="H292" s="83"/>
      <c r="I292" s="83"/>
      <c r="J292" s="83"/>
      <c r="L292" s="28"/>
    </row>
    <row r="293" spans="5:12" ht="15.75" customHeight="1" x14ac:dyDescent="0.2">
      <c r="E293" s="83"/>
      <c r="F293" s="83"/>
      <c r="G293" s="83"/>
      <c r="H293" s="83"/>
      <c r="I293" s="83"/>
      <c r="J293" s="83"/>
      <c r="L293" s="28"/>
    </row>
    <row r="294" spans="5:12" ht="15.75" customHeight="1" x14ac:dyDescent="0.2">
      <c r="E294" s="83"/>
      <c r="F294" s="83"/>
      <c r="G294" s="83"/>
      <c r="H294" s="83"/>
      <c r="I294" s="83"/>
      <c r="J294" s="83"/>
      <c r="L294" s="28"/>
    </row>
    <row r="295" spans="5:12" ht="15.75" customHeight="1" x14ac:dyDescent="0.2">
      <c r="E295" s="83"/>
      <c r="F295" s="83"/>
      <c r="G295" s="83"/>
      <c r="H295" s="83"/>
      <c r="I295" s="83"/>
      <c r="J295" s="83"/>
      <c r="L295" s="28"/>
    </row>
    <row r="296" spans="5:12" ht="15.75" customHeight="1" x14ac:dyDescent="0.2">
      <c r="E296" s="83"/>
      <c r="F296" s="83"/>
      <c r="G296" s="83"/>
      <c r="H296" s="83"/>
      <c r="I296" s="83"/>
      <c r="J296" s="83"/>
      <c r="L296" s="28"/>
    </row>
    <row r="297" spans="5:12" ht="15.75" customHeight="1" x14ac:dyDescent="0.2">
      <c r="E297" s="83"/>
      <c r="F297" s="83"/>
      <c r="G297" s="83"/>
      <c r="H297" s="83"/>
      <c r="I297" s="83"/>
      <c r="J297" s="83"/>
      <c r="L297" s="28"/>
    </row>
    <row r="298" spans="5:12" ht="15.75" customHeight="1" x14ac:dyDescent="0.2">
      <c r="E298" s="83"/>
      <c r="F298" s="83"/>
      <c r="G298" s="83"/>
      <c r="H298" s="83"/>
      <c r="I298" s="83"/>
      <c r="J298" s="83"/>
      <c r="L298" s="28"/>
    </row>
    <row r="299" spans="5:12" ht="15.75" customHeight="1" x14ac:dyDescent="0.2">
      <c r="E299" s="83"/>
      <c r="F299" s="83"/>
      <c r="G299" s="83"/>
      <c r="H299" s="83"/>
      <c r="I299" s="83"/>
      <c r="J299" s="83"/>
      <c r="L299" s="28"/>
    </row>
    <row r="300" spans="5:12" ht="15.75" customHeight="1" x14ac:dyDescent="0.2">
      <c r="E300" s="83"/>
      <c r="F300" s="83"/>
      <c r="G300" s="83"/>
      <c r="H300" s="83"/>
      <c r="I300" s="83"/>
      <c r="J300" s="83"/>
      <c r="L300" s="28"/>
    </row>
    <row r="301" spans="5:12" ht="15.75" customHeight="1" x14ac:dyDescent="0.2">
      <c r="E301" s="83"/>
      <c r="F301" s="83"/>
      <c r="G301" s="83"/>
      <c r="H301" s="83"/>
      <c r="I301" s="83"/>
      <c r="J301" s="83"/>
      <c r="L301" s="28"/>
    </row>
    <row r="302" spans="5:12" ht="15.75" customHeight="1" x14ac:dyDescent="0.2">
      <c r="E302" s="83"/>
      <c r="F302" s="83"/>
      <c r="G302" s="83"/>
      <c r="H302" s="83"/>
      <c r="I302" s="83"/>
      <c r="J302" s="83"/>
      <c r="L302" s="28"/>
    </row>
    <row r="303" spans="5:12" ht="15.75" customHeight="1" x14ac:dyDescent="0.2">
      <c r="E303" s="83"/>
      <c r="F303" s="83"/>
      <c r="G303" s="83"/>
      <c r="H303" s="83"/>
      <c r="I303" s="83"/>
      <c r="J303" s="83"/>
      <c r="L303" s="28"/>
    </row>
    <row r="304" spans="5:12" ht="15.75" customHeight="1" x14ac:dyDescent="0.2">
      <c r="E304" s="83"/>
      <c r="F304" s="83"/>
      <c r="G304" s="83"/>
      <c r="H304" s="83"/>
      <c r="I304" s="83"/>
      <c r="J304" s="83"/>
      <c r="L304" s="28"/>
    </row>
    <row r="305" spans="5:12" ht="15.75" customHeight="1" x14ac:dyDescent="0.2">
      <c r="E305" s="83"/>
      <c r="F305" s="83"/>
      <c r="G305" s="83"/>
      <c r="H305" s="83"/>
      <c r="I305" s="83"/>
      <c r="J305" s="83"/>
      <c r="L305" s="28"/>
    </row>
    <row r="306" spans="5:12" ht="15.75" customHeight="1" x14ac:dyDescent="0.2">
      <c r="E306" s="83"/>
      <c r="F306" s="83"/>
      <c r="G306" s="83"/>
      <c r="H306" s="83"/>
      <c r="I306" s="83"/>
      <c r="J306" s="83"/>
      <c r="L306" s="28"/>
    </row>
    <row r="307" spans="5:12" ht="15.75" customHeight="1" x14ac:dyDescent="0.2">
      <c r="E307" s="83"/>
      <c r="F307" s="83"/>
      <c r="G307" s="83"/>
      <c r="H307" s="83"/>
      <c r="I307" s="83"/>
      <c r="J307" s="83"/>
      <c r="L307" s="28"/>
    </row>
    <row r="308" spans="5:12" ht="15.75" customHeight="1" x14ac:dyDescent="0.2">
      <c r="E308" s="83"/>
      <c r="F308" s="83"/>
      <c r="G308" s="83"/>
      <c r="H308" s="83"/>
      <c r="I308" s="83"/>
      <c r="J308" s="83"/>
      <c r="L308" s="28"/>
    </row>
    <row r="309" spans="5:12" ht="15.75" customHeight="1" x14ac:dyDescent="0.2">
      <c r="E309" s="83"/>
      <c r="F309" s="83"/>
      <c r="G309" s="83"/>
      <c r="H309" s="83"/>
      <c r="I309" s="83"/>
      <c r="J309" s="83"/>
      <c r="L309" s="28"/>
    </row>
    <row r="310" spans="5:12" ht="15.75" customHeight="1" x14ac:dyDescent="0.2">
      <c r="E310" s="83"/>
      <c r="F310" s="83"/>
      <c r="G310" s="83"/>
      <c r="H310" s="83"/>
      <c r="I310" s="83"/>
      <c r="J310" s="83"/>
      <c r="L310" s="28"/>
    </row>
    <row r="311" spans="5:12" ht="15.75" customHeight="1" x14ac:dyDescent="0.2">
      <c r="E311" s="83"/>
      <c r="F311" s="83"/>
      <c r="G311" s="83"/>
      <c r="H311" s="83"/>
      <c r="I311" s="83"/>
      <c r="J311" s="83"/>
      <c r="L311" s="28"/>
    </row>
    <row r="312" spans="5:12" ht="15.75" customHeight="1" x14ac:dyDescent="0.2">
      <c r="E312" s="83"/>
      <c r="F312" s="83"/>
      <c r="G312" s="83"/>
      <c r="H312" s="83"/>
      <c r="I312" s="83"/>
      <c r="J312" s="83"/>
      <c r="L312" s="28"/>
    </row>
    <row r="313" spans="5:12" ht="15.75" customHeight="1" x14ac:dyDescent="0.2">
      <c r="E313" s="83"/>
      <c r="F313" s="83"/>
      <c r="G313" s="83"/>
      <c r="H313" s="83"/>
      <c r="I313" s="83"/>
      <c r="J313" s="83"/>
      <c r="L313" s="28"/>
    </row>
    <row r="314" spans="5:12" ht="15.75" customHeight="1" x14ac:dyDescent="0.2">
      <c r="E314" s="83"/>
      <c r="F314" s="83"/>
      <c r="G314" s="83"/>
      <c r="H314" s="83"/>
      <c r="I314" s="83"/>
      <c r="J314" s="83"/>
      <c r="L314" s="28"/>
    </row>
    <row r="315" spans="5:12" ht="15.75" customHeight="1" x14ac:dyDescent="0.2">
      <c r="E315" s="83"/>
      <c r="F315" s="83"/>
      <c r="G315" s="83"/>
      <c r="H315" s="83"/>
      <c r="I315" s="83"/>
      <c r="J315" s="83"/>
      <c r="L315" s="28"/>
    </row>
    <row r="316" spans="5:12" ht="15.75" customHeight="1" x14ac:dyDescent="0.2">
      <c r="E316" s="83"/>
      <c r="F316" s="83"/>
      <c r="G316" s="83"/>
      <c r="H316" s="83"/>
      <c r="I316" s="83"/>
      <c r="J316" s="83"/>
      <c r="L316" s="28"/>
    </row>
    <row r="317" spans="5:12" ht="15.75" customHeight="1" x14ac:dyDescent="0.2">
      <c r="E317" s="83"/>
      <c r="F317" s="83"/>
      <c r="G317" s="83"/>
      <c r="H317" s="83"/>
      <c r="I317" s="83"/>
      <c r="J317" s="83"/>
      <c r="L317" s="28"/>
    </row>
    <row r="318" spans="5:12" ht="15.75" customHeight="1" x14ac:dyDescent="0.2">
      <c r="E318" s="83"/>
      <c r="F318" s="83"/>
      <c r="G318" s="83"/>
      <c r="H318" s="83"/>
      <c r="I318" s="83"/>
      <c r="J318" s="83"/>
      <c r="L318" s="28"/>
    </row>
    <row r="319" spans="5:12" ht="15.75" customHeight="1" x14ac:dyDescent="0.2">
      <c r="E319" s="83"/>
      <c r="F319" s="83"/>
      <c r="G319" s="83"/>
      <c r="H319" s="83"/>
      <c r="I319" s="83"/>
      <c r="J319" s="83"/>
      <c r="L319" s="28"/>
    </row>
    <row r="320" spans="5:12" ht="15.75" customHeight="1" x14ac:dyDescent="0.2">
      <c r="E320" s="83"/>
      <c r="F320" s="83"/>
      <c r="G320" s="83"/>
      <c r="H320" s="83"/>
      <c r="I320" s="83"/>
      <c r="J320" s="83"/>
      <c r="L320" s="28"/>
    </row>
    <row r="321" spans="5:12" ht="15.75" customHeight="1" x14ac:dyDescent="0.2">
      <c r="E321" s="83"/>
      <c r="F321" s="83"/>
      <c r="G321" s="83"/>
      <c r="H321" s="83"/>
      <c r="I321" s="83"/>
      <c r="J321" s="83"/>
      <c r="L321" s="28"/>
    </row>
    <row r="322" spans="5:12" ht="15.75" customHeight="1" x14ac:dyDescent="0.2">
      <c r="E322" s="83"/>
      <c r="F322" s="83"/>
      <c r="G322" s="83"/>
      <c r="H322" s="83"/>
      <c r="I322" s="83"/>
      <c r="J322" s="83"/>
      <c r="L322" s="28"/>
    </row>
    <row r="323" spans="5:12" ht="15.75" customHeight="1" x14ac:dyDescent="0.2">
      <c r="E323" s="83"/>
      <c r="F323" s="83"/>
      <c r="G323" s="83"/>
      <c r="H323" s="83"/>
      <c r="I323" s="83"/>
      <c r="J323" s="83"/>
      <c r="L323" s="28"/>
    </row>
    <row r="324" spans="5:12" ht="15.75" customHeight="1" x14ac:dyDescent="0.2">
      <c r="E324" s="83"/>
      <c r="F324" s="83"/>
      <c r="G324" s="83"/>
      <c r="H324" s="83"/>
      <c r="I324" s="83"/>
      <c r="J324" s="83"/>
      <c r="L324" s="28"/>
    </row>
    <row r="325" spans="5:12" ht="15.75" customHeight="1" x14ac:dyDescent="0.2">
      <c r="E325" s="83"/>
      <c r="F325" s="83"/>
      <c r="G325" s="83"/>
      <c r="H325" s="83"/>
      <c r="I325" s="83"/>
      <c r="J325" s="83"/>
      <c r="L325" s="28"/>
    </row>
    <row r="326" spans="5:12" ht="15.75" customHeight="1" x14ac:dyDescent="0.2">
      <c r="E326" s="83"/>
      <c r="F326" s="83"/>
      <c r="G326" s="83"/>
      <c r="H326" s="83"/>
      <c r="I326" s="83"/>
      <c r="J326" s="83"/>
      <c r="L326" s="28"/>
    </row>
    <row r="327" spans="5:12" ht="15.75" customHeight="1" x14ac:dyDescent="0.2">
      <c r="E327" s="83"/>
      <c r="F327" s="83"/>
      <c r="G327" s="83"/>
      <c r="H327" s="83"/>
      <c r="I327" s="83"/>
      <c r="J327" s="83"/>
      <c r="L327" s="28"/>
    </row>
    <row r="328" spans="5:12" ht="15.75" customHeight="1" x14ac:dyDescent="0.2">
      <c r="E328" s="83"/>
      <c r="F328" s="83"/>
      <c r="G328" s="83"/>
      <c r="H328" s="83"/>
      <c r="I328" s="83"/>
      <c r="J328" s="83"/>
      <c r="L328" s="28"/>
    </row>
    <row r="329" spans="5:12" ht="15.75" customHeight="1" x14ac:dyDescent="0.2">
      <c r="E329" s="83"/>
      <c r="F329" s="83"/>
      <c r="G329" s="83"/>
      <c r="H329" s="83"/>
      <c r="I329" s="83"/>
      <c r="J329" s="83"/>
      <c r="L329" s="28"/>
    </row>
    <row r="330" spans="5:12" ht="15.75" customHeight="1" x14ac:dyDescent="0.2">
      <c r="E330" s="83"/>
      <c r="F330" s="83"/>
      <c r="G330" s="83"/>
      <c r="H330" s="83"/>
      <c r="I330" s="83"/>
      <c r="J330" s="83"/>
      <c r="L330" s="28"/>
    </row>
    <row r="331" spans="5:12" ht="15.75" customHeight="1" x14ac:dyDescent="0.2">
      <c r="E331" s="83"/>
      <c r="F331" s="83"/>
      <c r="G331" s="83"/>
      <c r="H331" s="83"/>
      <c r="I331" s="83"/>
      <c r="J331" s="83"/>
      <c r="L331" s="28"/>
    </row>
    <row r="332" spans="5:12" ht="15.75" customHeight="1" x14ac:dyDescent="0.2">
      <c r="E332" s="83"/>
      <c r="F332" s="83"/>
      <c r="G332" s="83"/>
      <c r="H332" s="83"/>
      <c r="I332" s="83"/>
      <c r="J332" s="83"/>
      <c r="L332" s="28"/>
    </row>
    <row r="333" spans="5:12" ht="15.75" customHeight="1" x14ac:dyDescent="0.2">
      <c r="E333" s="83"/>
      <c r="F333" s="83"/>
      <c r="G333" s="83"/>
      <c r="H333" s="83"/>
      <c r="I333" s="83"/>
      <c r="J333" s="83"/>
      <c r="L333" s="28"/>
    </row>
    <row r="334" spans="5:12" ht="15.75" customHeight="1" x14ac:dyDescent="0.2">
      <c r="E334" s="83"/>
      <c r="F334" s="83"/>
      <c r="G334" s="83"/>
      <c r="H334" s="83"/>
      <c r="I334" s="83"/>
      <c r="J334" s="83"/>
      <c r="L334" s="28"/>
    </row>
    <row r="335" spans="5:12" ht="15.75" customHeight="1" x14ac:dyDescent="0.2">
      <c r="E335" s="83"/>
      <c r="F335" s="83"/>
      <c r="G335" s="83"/>
      <c r="H335" s="83"/>
      <c r="I335" s="83"/>
      <c r="J335" s="83"/>
      <c r="L335" s="28"/>
    </row>
    <row r="336" spans="5:12" ht="15.75" customHeight="1" x14ac:dyDescent="0.2">
      <c r="E336" s="83"/>
      <c r="F336" s="83"/>
      <c r="G336" s="83"/>
      <c r="H336" s="83"/>
      <c r="I336" s="83"/>
      <c r="J336" s="83"/>
      <c r="L336" s="28"/>
    </row>
    <row r="337" spans="5:12" ht="15.75" customHeight="1" x14ac:dyDescent="0.2">
      <c r="E337" s="83"/>
      <c r="F337" s="83"/>
      <c r="G337" s="83"/>
      <c r="H337" s="83"/>
      <c r="I337" s="83"/>
      <c r="J337" s="83"/>
      <c r="L337" s="28"/>
    </row>
    <row r="338" spans="5:12" ht="15.75" customHeight="1" x14ac:dyDescent="0.2">
      <c r="E338" s="83"/>
      <c r="F338" s="83"/>
      <c r="G338" s="83"/>
      <c r="H338" s="83"/>
      <c r="I338" s="83"/>
      <c r="J338" s="83"/>
      <c r="L338" s="28"/>
    </row>
    <row r="339" spans="5:12" ht="15.75" customHeight="1" x14ac:dyDescent="0.2">
      <c r="E339" s="83"/>
      <c r="F339" s="83"/>
      <c r="G339" s="83"/>
      <c r="H339" s="83"/>
      <c r="I339" s="83"/>
      <c r="J339" s="83"/>
      <c r="L339" s="28"/>
    </row>
    <row r="340" spans="5:12" ht="15.75" customHeight="1" x14ac:dyDescent="0.2">
      <c r="E340" s="83"/>
      <c r="F340" s="83"/>
      <c r="G340" s="83"/>
      <c r="H340" s="83"/>
      <c r="I340" s="83"/>
      <c r="J340" s="83"/>
      <c r="L340" s="28"/>
    </row>
    <row r="341" spans="5:12" ht="15.75" customHeight="1" x14ac:dyDescent="0.2">
      <c r="E341" s="83"/>
      <c r="F341" s="83"/>
      <c r="G341" s="83"/>
      <c r="H341" s="83"/>
      <c r="I341" s="83"/>
      <c r="J341" s="83"/>
      <c r="L341" s="28"/>
    </row>
    <row r="342" spans="5:12" ht="15.75" customHeight="1" x14ac:dyDescent="0.2">
      <c r="E342" s="83"/>
      <c r="F342" s="83"/>
      <c r="G342" s="83"/>
      <c r="H342" s="83"/>
      <c r="I342" s="83"/>
      <c r="J342" s="83"/>
      <c r="L342" s="28"/>
    </row>
    <row r="343" spans="5:12" ht="15.75" customHeight="1" x14ac:dyDescent="0.2">
      <c r="E343" s="83"/>
      <c r="F343" s="83"/>
      <c r="G343" s="83"/>
      <c r="H343" s="83"/>
      <c r="I343" s="83"/>
      <c r="J343" s="83"/>
      <c r="L343" s="28"/>
    </row>
    <row r="344" spans="5:12" ht="15.75" customHeight="1" x14ac:dyDescent="0.2">
      <c r="E344" s="83"/>
      <c r="F344" s="83"/>
      <c r="G344" s="83"/>
      <c r="H344" s="83"/>
      <c r="I344" s="83"/>
      <c r="J344" s="83"/>
      <c r="L344" s="28"/>
    </row>
    <row r="345" spans="5:12" ht="15.75" customHeight="1" x14ac:dyDescent="0.2">
      <c r="E345" s="83"/>
      <c r="F345" s="83"/>
      <c r="G345" s="83"/>
      <c r="H345" s="83"/>
      <c r="I345" s="83"/>
      <c r="J345" s="83"/>
      <c r="L345" s="28"/>
    </row>
    <row r="346" spans="5:12" ht="15.75" customHeight="1" x14ac:dyDescent="0.2">
      <c r="E346" s="83"/>
      <c r="F346" s="83"/>
      <c r="G346" s="83"/>
      <c r="H346" s="83"/>
      <c r="I346" s="83"/>
      <c r="J346" s="83"/>
      <c r="L346" s="28"/>
    </row>
    <row r="347" spans="5:12" ht="15.75" customHeight="1" x14ac:dyDescent="0.2">
      <c r="E347" s="83"/>
      <c r="F347" s="83"/>
      <c r="G347" s="83"/>
      <c r="H347" s="83"/>
      <c r="I347" s="83"/>
      <c r="J347" s="83"/>
      <c r="L347" s="28"/>
    </row>
    <row r="348" spans="5:12" ht="15.75" customHeight="1" x14ac:dyDescent="0.2">
      <c r="E348" s="83"/>
      <c r="F348" s="83"/>
      <c r="G348" s="83"/>
      <c r="H348" s="83"/>
      <c r="I348" s="83"/>
      <c r="J348" s="83"/>
      <c r="L348" s="28"/>
    </row>
    <row r="349" spans="5:12" ht="15.75" customHeight="1" x14ac:dyDescent="0.2">
      <c r="E349" s="83"/>
      <c r="F349" s="83"/>
      <c r="G349" s="83"/>
      <c r="H349" s="83"/>
      <c r="I349" s="83"/>
      <c r="J349" s="83"/>
      <c r="L349" s="28"/>
    </row>
    <row r="350" spans="5:12" ht="15.75" customHeight="1" x14ac:dyDescent="0.2">
      <c r="E350" s="83"/>
      <c r="F350" s="83"/>
      <c r="G350" s="83"/>
      <c r="H350" s="83"/>
      <c r="I350" s="83"/>
      <c r="J350" s="83"/>
      <c r="L350" s="28"/>
    </row>
    <row r="351" spans="5:12" ht="15.75" customHeight="1" x14ac:dyDescent="0.2">
      <c r="E351" s="83"/>
      <c r="F351" s="83"/>
      <c r="G351" s="83"/>
      <c r="H351" s="83"/>
      <c r="I351" s="83"/>
      <c r="J351" s="83"/>
      <c r="L351" s="28"/>
    </row>
    <row r="352" spans="5:12" ht="15.75" customHeight="1" x14ac:dyDescent="0.2">
      <c r="E352" s="83"/>
      <c r="F352" s="83"/>
      <c r="G352" s="83"/>
      <c r="H352" s="83"/>
      <c r="I352" s="83"/>
      <c r="J352" s="83"/>
      <c r="L352" s="28"/>
    </row>
    <row r="353" spans="5:12" ht="15.75" customHeight="1" x14ac:dyDescent="0.2">
      <c r="E353" s="83"/>
      <c r="F353" s="83"/>
      <c r="G353" s="83"/>
      <c r="H353" s="83"/>
      <c r="I353" s="83"/>
      <c r="J353" s="83"/>
      <c r="L353" s="28"/>
    </row>
    <row r="354" spans="5:12" ht="15.75" customHeight="1" x14ac:dyDescent="0.2">
      <c r="E354" s="83"/>
      <c r="F354" s="83"/>
      <c r="G354" s="83"/>
      <c r="H354" s="83"/>
      <c r="I354" s="83"/>
      <c r="J354" s="83"/>
      <c r="L354" s="28"/>
    </row>
    <row r="355" spans="5:12" ht="15.75" customHeight="1" x14ac:dyDescent="0.2">
      <c r="E355" s="83"/>
      <c r="F355" s="83"/>
      <c r="G355" s="83"/>
      <c r="H355" s="83"/>
      <c r="I355" s="83"/>
      <c r="J355" s="83"/>
      <c r="L355" s="28"/>
    </row>
    <row r="356" spans="5:12" ht="15.75" customHeight="1" x14ac:dyDescent="0.2">
      <c r="E356" s="83"/>
      <c r="F356" s="83"/>
      <c r="G356" s="83"/>
      <c r="H356" s="83"/>
      <c r="I356" s="83"/>
      <c r="J356" s="83"/>
      <c r="L356" s="28"/>
    </row>
    <row r="357" spans="5:12" ht="15.75" customHeight="1" x14ac:dyDescent="0.2">
      <c r="E357" s="83"/>
      <c r="F357" s="83"/>
      <c r="G357" s="83"/>
      <c r="H357" s="83"/>
      <c r="I357" s="83"/>
      <c r="J357" s="83"/>
      <c r="L357" s="28"/>
    </row>
    <row r="358" spans="5:12" ht="15.75" customHeight="1" x14ac:dyDescent="0.2">
      <c r="E358" s="83"/>
      <c r="F358" s="83"/>
      <c r="G358" s="83"/>
      <c r="H358" s="83"/>
      <c r="I358" s="83"/>
      <c r="J358" s="83"/>
      <c r="L358" s="28"/>
    </row>
    <row r="359" spans="5:12" ht="15.75" customHeight="1" x14ac:dyDescent="0.2">
      <c r="E359" s="83"/>
      <c r="F359" s="83"/>
      <c r="G359" s="83"/>
      <c r="H359" s="83"/>
      <c r="I359" s="83"/>
      <c r="J359" s="83"/>
      <c r="L359" s="28"/>
    </row>
    <row r="360" spans="5:12" ht="15.75" customHeight="1" x14ac:dyDescent="0.2">
      <c r="E360" s="83"/>
      <c r="F360" s="83"/>
      <c r="G360" s="83"/>
      <c r="H360" s="83"/>
      <c r="I360" s="83"/>
      <c r="J360" s="83"/>
      <c r="L360" s="28"/>
    </row>
    <row r="361" spans="5:12" ht="15.75" customHeight="1" x14ac:dyDescent="0.2">
      <c r="E361" s="83"/>
      <c r="F361" s="83"/>
      <c r="G361" s="83"/>
      <c r="H361" s="83"/>
      <c r="I361" s="83"/>
      <c r="J361" s="83"/>
      <c r="L361" s="28"/>
    </row>
    <row r="362" spans="5:12" ht="15.75" customHeight="1" x14ac:dyDescent="0.2">
      <c r="E362" s="83"/>
      <c r="F362" s="83"/>
      <c r="G362" s="83"/>
      <c r="H362" s="83"/>
      <c r="I362" s="83"/>
      <c r="J362" s="83"/>
      <c r="L362" s="28"/>
    </row>
    <row r="363" spans="5:12" ht="15.75" customHeight="1" x14ac:dyDescent="0.2">
      <c r="E363" s="83"/>
      <c r="F363" s="83"/>
      <c r="G363" s="83"/>
      <c r="H363" s="83"/>
      <c r="I363" s="83"/>
      <c r="J363" s="83"/>
      <c r="L363" s="28"/>
    </row>
    <row r="364" spans="5:12" ht="15.75" customHeight="1" x14ac:dyDescent="0.2">
      <c r="E364" s="83"/>
      <c r="F364" s="83"/>
      <c r="G364" s="83"/>
      <c r="H364" s="83"/>
      <c r="I364" s="83"/>
      <c r="J364" s="83"/>
      <c r="L364" s="28"/>
    </row>
    <row r="365" spans="5:12" ht="15.75" customHeight="1" x14ac:dyDescent="0.2">
      <c r="E365" s="83"/>
      <c r="F365" s="83"/>
      <c r="G365" s="83"/>
      <c r="H365" s="83"/>
      <c r="I365" s="83"/>
      <c r="J365" s="83"/>
      <c r="L365" s="28"/>
    </row>
    <row r="366" spans="5:12" ht="15.75" customHeight="1" x14ac:dyDescent="0.2">
      <c r="E366" s="83"/>
      <c r="F366" s="83"/>
      <c r="G366" s="83"/>
      <c r="H366" s="83"/>
      <c r="I366" s="83"/>
      <c r="J366" s="83"/>
      <c r="L366" s="28"/>
    </row>
    <row r="367" spans="5:12" ht="15.75" customHeight="1" x14ac:dyDescent="0.2">
      <c r="E367" s="83"/>
      <c r="F367" s="83"/>
      <c r="G367" s="83"/>
      <c r="H367" s="83"/>
      <c r="I367" s="83"/>
      <c r="J367" s="83"/>
      <c r="L367" s="28"/>
    </row>
    <row r="368" spans="5:12" ht="15.75" customHeight="1" x14ac:dyDescent="0.2">
      <c r="E368" s="83"/>
      <c r="F368" s="83"/>
      <c r="G368" s="83"/>
      <c r="H368" s="83"/>
      <c r="I368" s="83"/>
      <c r="J368" s="83"/>
      <c r="L368" s="28"/>
    </row>
    <row r="369" spans="5:12" ht="15.75" customHeight="1" x14ac:dyDescent="0.2">
      <c r="E369" s="83"/>
      <c r="F369" s="83"/>
      <c r="G369" s="83"/>
      <c r="H369" s="83"/>
      <c r="I369" s="83"/>
      <c r="J369" s="83"/>
      <c r="L369" s="28"/>
    </row>
    <row r="370" spans="5:12" ht="15.75" customHeight="1" x14ac:dyDescent="0.2">
      <c r="E370" s="83"/>
      <c r="F370" s="83"/>
      <c r="G370" s="83"/>
      <c r="H370" s="83"/>
      <c r="I370" s="83"/>
      <c r="J370" s="83"/>
      <c r="L370" s="28"/>
    </row>
    <row r="371" spans="5:12" ht="15.75" customHeight="1" x14ac:dyDescent="0.2">
      <c r="E371" s="83"/>
      <c r="F371" s="83"/>
      <c r="G371" s="83"/>
      <c r="H371" s="83"/>
      <c r="I371" s="83"/>
      <c r="J371" s="83"/>
      <c r="L371" s="28"/>
    </row>
    <row r="372" spans="5:12" ht="15.75" customHeight="1" x14ac:dyDescent="0.2">
      <c r="E372" s="83"/>
      <c r="F372" s="83"/>
      <c r="G372" s="83"/>
      <c r="H372" s="83"/>
      <c r="I372" s="83"/>
      <c r="J372" s="83"/>
      <c r="L372" s="28"/>
    </row>
    <row r="373" spans="5:12" ht="15.75" customHeight="1" x14ac:dyDescent="0.2">
      <c r="E373" s="83"/>
      <c r="F373" s="83"/>
      <c r="G373" s="83"/>
      <c r="H373" s="83"/>
      <c r="I373" s="83"/>
      <c r="J373" s="83"/>
      <c r="L373" s="28"/>
    </row>
    <row r="374" spans="5:12" ht="15.75" customHeight="1" x14ac:dyDescent="0.2">
      <c r="E374" s="83"/>
      <c r="F374" s="83"/>
      <c r="G374" s="83"/>
      <c r="H374" s="83"/>
      <c r="I374" s="83"/>
      <c r="J374" s="83"/>
      <c r="L374" s="28"/>
    </row>
    <row r="375" spans="5:12" ht="15.75" customHeight="1" x14ac:dyDescent="0.2">
      <c r="E375" s="83"/>
      <c r="F375" s="83"/>
      <c r="G375" s="83"/>
      <c r="H375" s="83"/>
      <c r="I375" s="83"/>
      <c r="J375" s="83"/>
      <c r="L375" s="28"/>
    </row>
    <row r="376" spans="5:12" ht="15.75" customHeight="1" x14ac:dyDescent="0.2">
      <c r="E376" s="83"/>
      <c r="F376" s="83"/>
      <c r="G376" s="83"/>
      <c r="H376" s="83"/>
      <c r="I376" s="83"/>
      <c r="J376" s="83"/>
      <c r="L376" s="28"/>
    </row>
    <row r="377" spans="5:12" ht="15.75" customHeight="1" x14ac:dyDescent="0.2">
      <c r="E377" s="83"/>
      <c r="F377" s="83"/>
      <c r="G377" s="83"/>
      <c r="H377" s="83"/>
      <c r="I377" s="83"/>
      <c r="J377" s="83"/>
      <c r="L377" s="28"/>
    </row>
    <row r="378" spans="5:12" ht="15.75" customHeight="1" x14ac:dyDescent="0.2">
      <c r="E378" s="83"/>
      <c r="F378" s="83"/>
      <c r="G378" s="83"/>
      <c r="H378" s="83"/>
      <c r="I378" s="83"/>
      <c r="J378" s="83"/>
      <c r="L378" s="28"/>
    </row>
    <row r="379" spans="5:12" ht="15.75" customHeight="1" x14ac:dyDescent="0.2">
      <c r="E379" s="83"/>
      <c r="F379" s="83"/>
      <c r="G379" s="83"/>
      <c r="H379" s="83"/>
      <c r="I379" s="83"/>
      <c r="J379" s="83"/>
      <c r="L379" s="28"/>
    </row>
    <row r="380" spans="5:12" ht="15.75" customHeight="1" x14ac:dyDescent="0.2">
      <c r="E380" s="83"/>
      <c r="F380" s="83"/>
      <c r="G380" s="83"/>
      <c r="H380" s="83"/>
      <c r="I380" s="83"/>
      <c r="J380" s="83"/>
      <c r="L380" s="28"/>
    </row>
    <row r="381" spans="5:12" ht="15.75" customHeight="1" x14ac:dyDescent="0.2">
      <c r="E381" s="83"/>
      <c r="F381" s="83"/>
      <c r="G381" s="83"/>
      <c r="H381" s="83"/>
      <c r="I381" s="83"/>
      <c r="J381" s="83"/>
      <c r="L381" s="28"/>
    </row>
    <row r="382" spans="5:12" ht="15.75" customHeight="1" x14ac:dyDescent="0.2">
      <c r="E382" s="83"/>
      <c r="F382" s="83"/>
      <c r="G382" s="83"/>
      <c r="H382" s="83"/>
      <c r="I382" s="83"/>
      <c r="J382" s="83"/>
      <c r="L382" s="28"/>
    </row>
    <row r="383" spans="5:12" ht="15.75" customHeight="1" x14ac:dyDescent="0.2">
      <c r="E383" s="83"/>
      <c r="F383" s="83"/>
      <c r="G383" s="83"/>
      <c r="H383" s="83"/>
      <c r="I383" s="83"/>
      <c r="J383" s="83"/>
      <c r="L383" s="28"/>
    </row>
    <row r="384" spans="5:12" ht="15.75" customHeight="1" x14ac:dyDescent="0.2">
      <c r="E384" s="83"/>
      <c r="F384" s="83"/>
      <c r="G384" s="83"/>
      <c r="H384" s="83"/>
      <c r="I384" s="83"/>
      <c r="J384" s="83"/>
      <c r="L384" s="28"/>
    </row>
    <row r="385" spans="5:12" ht="15.75" customHeight="1" x14ac:dyDescent="0.2">
      <c r="E385" s="83"/>
      <c r="F385" s="83"/>
      <c r="G385" s="83"/>
      <c r="H385" s="83"/>
      <c r="I385" s="83"/>
      <c r="J385" s="83"/>
      <c r="L385" s="28"/>
    </row>
    <row r="386" spans="5:12" ht="15.75" customHeight="1" x14ac:dyDescent="0.2">
      <c r="E386" s="83"/>
      <c r="F386" s="83"/>
      <c r="G386" s="83"/>
      <c r="H386" s="83"/>
      <c r="I386" s="83"/>
      <c r="J386" s="83"/>
      <c r="L386" s="28"/>
    </row>
    <row r="387" spans="5:12" ht="15.75" customHeight="1" x14ac:dyDescent="0.2">
      <c r="E387" s="83"/>
      <c r="F387" s="83"/>
      <c r="G387" s="83"/>
      <c r="H387" s="83"/>
      <c r="I387" s="83"/>
      <c r="J387" s="83"/>
      <c r="L387" s="28"/>
    </row>
    <row r="388" spans="5:12" ht="15.75" customHeight="1" x14ac:dyDescent="0.2">
      <c r="E388" s="83"/>
      <c r="F388" s="83"/>
      <c r="G388" s="83"/>
      <c r="H388" s="83"/>
      <c r="I388" s="83"/>
      <c r="J388" s="83"/>
      <c r="L388" s="28"/>
    </row>
    <row r="389" spans="5:12" ht="15.75" customHeight="1" x14ac:dyDescent="0.2">
      <c r="E389" s="83"/>
      <c r="F389" s="83"/>
      <c r="G389" s="83"/>
      <c r="H389" s="83"/>
      <c r="I389" s="83"/>
      <c r="J389" s="83"/>
      <c r="L389" s="28"/>
    </row>
    <row r="390" spans="5:12" ht="15.75" customHeight="1" x14ac:dyDescent="0.2">
      <c r="E390" s="83"/>
      <c r="F390" s="83"/>
      <c r="G390" s="83"/>
      <c r="H390" s="83"/>
      <c r="I390" s="83"/>
      <c r="J390" s="83"/>
      <c r="L390" s="28"/>
    </row>
    <row r="391" spans="5:12" ht="15.75" customHeight="1" x14ac:dyDescent="0.2">
      <c r="E391" s="83"/>
      <c r="F391" s="83"/>
      <c r="G391" s="83"/>
      <c r="H391" s="83"/>
      <c r="I391" s="83"/>
      <c r="J391" s="83"/>
      <c r="L391" s="28"/>
    </row>
    <row r="392" spans="5:12" ht="15.75" customHeight="1" x14ac:dyDescent="0.2">
      <c r="E392" s="83"/>
      <c r="F392" s="83"/>
      <c r="G392" s="83"/>
      <c r="H392" s="83"/>
      <c r="I392" s="83"/>
      <c r="J392" s="83"/>
      <c r="L392" s="28"/>
    </row>
    <row r="393" spans="5:12" ht="15.75" customHeight="1" x14ac:dyDescent="0.2">
      <c r="E393" s="83"/>
      <c r="F393" s="83"/>
      <c r="G393" s="83"/>
      <c r="H393" s="83"/>
      <c r="I393" s="83"/>
      <c r="J393" s="83"/>
      <c r="L393" s="28"/>
    </row>
    <row r="394" spans="5:12" ht="15.75" customHeight="1" x14ac:dyDescent="0.2">
      <c r="E394" s="83"/>
      <c r="F394" s="83"/>
      <c r="G394" s="83"/>
      <c r="H394" s="83"/>
      <c r="I394" s="83"/>
      <c r="J394" s="83"/>
      <c r="L394" s="28"/>
    </row>
    <row r="395" spans="5:12" ht="15.75" customHeight="1" x14ac:dyDescent="0.2">
      <c r="E395" s="83"/>
      <c r="F395" s="83"/>
      <c r="G395" s="83"/>
      <c r="H395" s="83"/>
      <c r="I395" s="83"/>
      <c r="J395" s="83"/>
      <c r="L395" s="28"/>
    </row>
    <row r="396" spans="5:12" ht="15.75" customHeight="1" x14ac:dyDescent="0.2">
      <c r="E396" s="83"/>
      <c r="F396" s="83"/>
      <c r="G396" s="83"/>
      <c r="H396" s="83"/>
      <c r="I396" s="83"/>
      <c r="J396" s="83"/>
      <c r="L396" s="28"/>
    </row>
    <row r="397" spans="5:12" ht="15.75" customHeight="1" x14ac:dyDescent="0.2">
      <c r="E397" s="83"/>
      <c r="F397" s="83"/>
      <c r="G397" s="83"/>
      <c r="H397" s="83"/>
      <c r="I397" s="83"/>
      <c r="J397" s="83"/>
      <c r="L397" s="28"/>
    </row>
    <row r="398" spans="5:12" ht="15.75" customHeight="1" x14ac:dyDescent="0.2">
      <c r="E398" s="83"/>
      <c r="F398" s="83"/>
      <c r="G398" s="83"/>
      <c r="H398" s="83"/>
      <c r="I398" s="83"/>
      <c r="J398" s="83"/>
      <c r="L398" s="28"/>
    </row>
    <row r="399" spans="5:12" ht="15.75" customHeight="1" x14ac:dyDescent="0.2">
      <c r="E399" s="83"/>
      <c r="F399" s="83"/>
      <c r="G399" s="83"/>
      <c r="H399" s="83"/>
      <c r="I399" s="83"/>
      <c r="J399" s="83"/>
      <c r="L399" s="28"/>
    </row>
    <row r="400" spans="5:12" ht="15.75" customHeight="1" x14ac:dyDescent="0.2">
      <c r="E400" s="83"/>
      <c r="F400" s="83"/>
      <c r="G400" s="83"/>
      <c r="H400" s="83"/>
      <c r="I400" s="83"/>
      <c r="J400" s="83"/>
      <c r="L400" s="28"/>
    </row>
    <row r="401" spans="5:12" ht="15.75" customHeight="1" x14ac:dyDescent="0.2">
      <c r="E401" s="83"/>
      <c r="F401" s="83"/>
      <c r="G401" s="83"/>
      <c r="H401" s="83"/>
      <c r="I401" s="83"/>
      <c r="J401" s="83"/>
      <c r="L401" s="28"/>
    </row>
    <row r="402" spans="5:12" ht="15.75" customHeight="1" x14ac:dyDescent="0.2">
      <c r="E402" s="83"/>
      <c r="F402" s="83"/>
      <c r="G402" s="83"/>
      <c r="H402" s="83"/>
      <c r="I402" s="83"/>
      <c r="J402" s="83"/>
      <c r="L402" s="28"/>
    </row>
    <row r="403" spans="5:12" ht="15.75" customHeight="1" x14ac:dyDescent="0.2">
      <c r="E403" s="83"/>
      <c r="F403" s="83"/>
      <c r="G403" s="83"/>
      <c r="H403" s="83"/>
      <c r="I403" s="83"/>
      <c r="J403" s="83"/>
      <c r="L403" s="28"/>
    </row>
    <row r="404" spans="5:12" ht="15.75" customHeight="1" x14ac:dyDescent="0.2">
      <c r="E404" s="83"/>
      <c r="F404" s="83"/>
      <c r="G404" s="83"/>
      <c r="H404" s="83"/>
      <c r="I404" s="83"/>
      <c r="J404" s="83"/>
      <c r="L404" s="28"/>
    </row>
    <row r="405" spans="5:12" ht="15.75" customHeight="1" x14ac:dyDescent="0.2">
      <c r="E405" s="83"/>
      <c r="F405" s="83"/>
      <c r="G405" s="83"/>
      <c r="H405" s="83"/>
      <c r="I405" s="83"/>
      <c r="J405" s="83"/>
      <c r="L405" s="28"/>
    </row>
    <row r="406" spans="5:12" ht="15.75" customHeight="1" x14ac:dyDescent="0.2">
      <c r="E406" s="83"/>
      <c r="F406" s="83"/>
      <c r="G406" s="83"/>
      <c r="H406" s="83"/>
      <c r="I406" s="83"/>
      <c r="J406" s="83"/>
      <c r="L406" s="28"/>
    </row>
    <row r="407" spans="5:12" ht="15.75" customHeight="1" x14ac:dyDescent="0.2">
      <c r="E407" s="83"/>
      <c r="F407" s="83"/>
      <c r="G407" s="83"/>
      <c r="H407" s="83"/>
      <c r="I407" s="83"/>
      <c r="J407" s="83"/>
      <c r="L407" s="28"/>
    </row>
    <row r="408" spans="5:12" ht="15.75" customHeight="1" x14ac:dyDescent="0.2">
      <c r="E408" s="83"/>
      <c r="F408" s="83"/>
      <c r="G408" s="83"/>
      <c r="H408" s="83"/>
      <c r="I408" s="83"/>
      <c r="J408" s="83"/>
      <c r="L408" s="28"/>
    </row>
    <row r="409" spans="5:12" ht="15.75" customHeight="1" x14ac:dyDescent="0.2">
      <c r="E409" s="83"/>
      <c r="F409" s="83"/>
      <c r="G409" s="83"/>
      <c r="H409" s="83"/>
      <c r="I409" s="83"/>
      <c r="J409" s="83"/>
      <c r="L409" s="28"/>
    </row>
    <row r="410" spans="5:12" ht="15.75" customHeight="1" x14ac:dyDescent="0.2">
      <c r="E410" s="83"/>
      <c r="F410" s="83"/>
      <c r="G410" s="83"/>
      <c r="H410" s="83"/>
      <c r="I410" s="83"/>
      <c r="J410" s="83"/>
      <c r="L410" s="28"/>
    </row>
    <row r="411" spans="5:12" ht="15.75" customHeight="1" x14ac:dyDescent="0.2">
      <c r="E411" s="83"/>
      <c r="F411" s="83"/>
      <c r="G411" s="83"/>
      <c r="H411" s="83"/>
      <c r="I411" s="83"/>
      <c r="J411" s="83"/>
      <c r="L411" s="28"/>
    </row>
    <row r="412" spans="5:12" ht="15.75" customHeight="1" x14ac:dyDescent="0.2">
      <c r="E412" s="83"/>
      <c r="F412" s="83"/>
      <c r="G412" s="83"/>
      <c r="H412" s="83"/>
      <c r="I412" s="83"/>
      <c r="J412" s="83"/>
      <c r="L412" s="28"/>
    </row>
    <row r="413" spans="5:12" ht="15.75" customHeight="1" x14ac:dyDescent="0.2">
      <c r="E413" s="83"/>
      <c r="F413" s="83"/>
      <c r="G413" s="83"/>
      <c r="H413" s="83"/>
      <c r="I413" s="83"/>
      <c r="J413" s="83"/>
      <c r="L413" s="28"/>
    </row>
    <row r="414" spans="5:12" ht="15.75" customHeight="1" x14ac:dyDescent="0.2">
      <c r="E414" s="83"/>
      <c r="F414" s="83"/>
      <c r="G414" s="83"/>
      <c r="H414" s="83"/>
      <c r="I414" s="83"/>
      <c r="J414" s="83"/>
      <c r="L414" s="28"/>
    </row>
    <row r="415" spans="5:12" ht="15.75" customHeight="1" x14ac:dyDescent="0.2">
      <c r="E415" s="83"/>
      <c r="F415" s="83"/>
      <c r="G415" s="83"/>
      <c r="H415" s="83"/>
      <c r="I415" s="83"/>
      <c r="J415" s="83"/>
      <c r="L415" s="28"/>
    </row>
    <row r="416" spans="5:12" ht="15.75" customHeight="1" x14ac:dyDescent="0.2">
      <c r="E416" s="83"/>
      <c r="F416" s="83"/>
      <c r="G416" s="83"/>
      <c r="H416" s="83"/>
      <c r="I416" s="83"/>
      <c r="J416" s="83"/>
      <c r="L416" s="28"/>
    </row>
    <row r="417" spans="5:12" ht="15.75" customHeight="1" x14ac:dyDescent="0.2">
      <c r="E417" s="83"/>
      <c r="F417" s="83"/>
      <c r="G417" s="83"/>
      <c r="H417" s="83"/>
      <c r="I417" s="83"/>
      <c r="J417" s="83"/>
      <c r="L417" s="28"/>
    </row>
    <row r="418" spans="5:12" ht="15.75" customHeight="1" x14ac:dyDescent="0.2">
      <c r="E418" s="83"/>
      <c r="F418" s="83"/>
      <c r="G418" s="83"/>
      <c r="H418" s="83"/>
      <c r="I418" s="83"/>
      <c r="J418" s="83"/>
      <c r="L418" s="28"/>
    </row>
    <row r="419" spans="5:12" ht="15.75" customHeight="1" x14ac:dyDescent="0.2">
      <c r="E419" s="83"/>
      <c r="F419" s="83"/>
      <c r="G419" s="83"/>
      <c r="H419" s="83"/>
      <c r="I419" s="83"/>
      <c r="J419" s="83"/>
      <c r="L419" s="28"/>
    </row>
    <row r="420" spans="5:12" ht="15.75" customHeight="1" x14ac:dyDescent="0.2">
      <c r="E420" s="83"/>
      <c r="F420" s="83"/>
      <c r="G420" s="83"/>
      <c r="H420" s="83"/>
      <c r="I420" s="83"/>
      <c r="J420" s="83"/>
      <c r="L420" s="28"/>
    </row>
    <row r="421" spans="5:12" ht="15.75" customHeight="1" x14ac:dyDescent="0.2">
      <c r="E421" s="83"/>
      <c r="F421" s="83"/>
      <c r="G421" s="83"/>
      <c r="H421" s="83"/>
      <c r="I421" s="83"/>
      <c r="J421" s="83"/>
      <c r="L421" s="28"/>
    </row>
    <row r="422" spans="5:12" ht="15.75" customHeight="1" x14ac:dyDescent="0.2">
      <c r="E422" s="83"/>
      <c r="F422" s="83"/>
      <c r="G422" s="83"/>
      <c r="H422" s="83"/>
      <c r="I422" s="83"/>
      <c r="J422" s="83"/>
      <c r="L422" s="28"/>
    </row>
    <row r="423" spans="5:12" ht="15.75" customHeight="1" x14ac:dyDescent="0.2">
      <c r="E423" s="83"/>
      <c r="F423" s="83"/>
      <c r="G423" s="83"/>
      <c r="H423" s="83"/>
      <c r="I423" s="83"/>
      <c r="J423" s="83"/>
      <c r="L423" s="28"/>
    </row>
    <row r="424" spans="5:12" ht="15.75" customHeight="1" x14ac:dyDescent="0.2">
      <c r="E424" s="83"/>
      <c r="F424" s="83"/>
      <c r="G424" s="83"/>
      <c r="H424" s="83"/>
      <c r="I424" s="83"/>
      <c r="J424" s="83"/>
      <c r="L424" s="28"/>
    </row>
    <row r="425" spans="5:12" ht="15.75" customHeight="1" x14ac:dyDescent="0.2">
      <c r="E425" s="83"/>
      <c r="F425" s="83"/>
      <c r="G425" s="83"/>
      <c r="H425" s="83"/>
      <c r="I425" s="83"/>
      <c r="J425" s="83"/>
      <c r="L425" s="28"/>
    </row>
    <row r="426" spans="5:12" ht="15.75" customHeight="1" x14ac:dyDescent="0.2">
      <c r="E426" s="83"/>
      <c r="F426" s="83"/>
      <c r="G426" s="83"/>
      <c r="H426" s="83"/>
      <c r="I426" s="83"/>
      <c r="J426" s="83"/>
      <c r="L426" s="28"/>
    </row>
    <row r="427" spans="5:12" ht="15.75" customHeight="1" x14ac:dyDescent="0.2">
      <c r="E427" s="83"/>
      <c r="F427" s="83"/>
      <c r="G427" s="83"/>
      <c r="H427" s="83"/>
      <c r="I427" s="83"/>
      <c r="J427" s="83"/>
      <c r="L427" s="28"/>
    </row>
    <row r="428" spans="5:12" ht="15.75" customHeight="1" x14ac:dyDescent="0.2">
      <c r="E428" s="83"/>
      <c r="F428" s="83"/>
      <c r="G428" s="83"/>
      <c r="H428" s="83"/>
      <c r="I428" s="83"/>
      <c r="J428" s="83"/>
      <c r="L428" s="28"/>
    </row>
    <row r="429" spans="5:12" ht="15.75" customHeight="1" x14ac:dyDescent="0.2">
      <c r="E429" s="83"/>
      <c r="F429" s="83"/>
      <c r="G429" s="83"/>
      <c r="H429" s="83"/>
      <c r="I429" s="83"/>
      <c r="J429" s="83"/>
      <c r="L429" s="28"/>
    </row>
    <row r="430" spans="5:12" ht="15.75" customHeight="1" x14ac:dyDescent="0.2">
      <c r="E430" s="83"/>
      <c r="F430" s="83"/>
      <c r="G430" s="83"/>
      <c r="H430" s="83"/>
      <c r="I430" s="83"/>
      <c r="J430" s="83"/>
      <c r="L430" s="28"/>
    </row>
    <row r="431" spans="5:12" ht="15.75" customHeight="1" x14ac:dyDescent="0.2">
      <c r="E431" s="83"/>
      <c r="F431" s="83"/>
      <c r="G431" s="83"/>
      <c r="H431" s="83"/>
      <c r="I431" s="83"/>
      <c r="J431" s="83"/>
      <c r="L431" s="28"/>
    </row>
    <row r="432" spans="5:12" ht="15.75" customHeight="1" x14ac:dyDescent="0.2">
      <c r="E432" s="83"/>
      <c r="F432" s="83"/>
      <c r="G432" s="83"/>
      <c r="H432" s="83"/>
      <c r="I432" s="83"/>
      <c r="J432" s="83"/>
      <c r="L432" s="28"/>
    </row>
    <row r="433" spans="5:12" ht="15.75" customHeight="1" x14ac:dyDescent="0.2">
      <c r="E433" s="83"/>
      <c r="F433" s="83"/>
      <c r="G433" s="83"/>
      <c r="H433" s="83"/>
      <c r="I433" s="83"/>
      <c r="J433" s="83"/>
      <c r="L433" s="28"/>
    </row>
    <row r="434" spans="5:12" ht="15.75" customHeight="1" x14ac:dyDescent="0.2">
      <c r="E434" s="83"/>
      <c r="F434" s="83"/>
      <c r="G434" s="83"/>
      <c r="H434" s="83"/>
      <c r="I434" s="83"/>
      <c r="J434" s="83"/>
      <c r="L434" s="28"/>
    </row>
    <row r="435" spans="5:12" ht="15.75" customHeight="1" x14ac:dyDescent="0.2">
      <c r="E435" s="83"/>
      <c r="F435" s="83"/>
      <c r="G435" s="83"/>
      <c r="H435" s="83"/>
      <c r="I435" s="83"/>
      <c r="J435" s="83"/>
      <c r="L435" s="28"/>
    </row>
    <row r="436" spans="5:12" ht="15.75" customHeight="1" x14ac:dyDescent="0.2">
      <c r="E436" s="83"/>
      <c r="F436" s="83"/>
      <c r="G436" s="83"/>
      <c r="H436" s="83"/>
      <c r="I436" s="83"/>
      <c r="J436" s="83"/>
      <c r="L436" s="28"/>
    </row>
    <row r="437" spans="5:12" ht="15.75" customHeight="1" x14ac:dyDescent="0.2">
      <c r="E437" s="83"/>
      <c r="F437" s="83"/>
      <c r="G437" s="83"/>
      <c r="H437" s="83"/>
      <c r="I437" s="83"/>
      <c r="J437" s="83"/>
      <c r="L437" s="28"/>
    </row>
    <row r="438" spans="5:12" ht="15.75" customHeight="1" x14ac:dyDescent="0.2">
      <c r="E438" s="83"/>
      <c r="F438" s="83"/>
      <c r="G438" s="83"/>
      <c r="H438" s="83"/>
      <c r="I438" s="83"/>
      <c r="J438" s="83"/>
      <c r="L438" s="28"/>
    </row>
    <row r="439" spans="5:12" ht="15.75" customHeight="1" x14ac:dyDescent="0.2">
      <c r="E439" s="83"/>
      <c r="F439" s="83"/>
      <c r="G439" s="83"/>
      <c r="H439" s="83"/>
      <c r="I439" s="83"/>
      <c r="J439" s="83"/>
      <c r="L439" s="28"/>
    </row>
    <row r="440" spans="5:12" ht="15.75" customHeight="1" x14ac:dyDescent="0.2">
      <c r="E440" s="83"/>
      <c r="F440" s="83"/>
      <c r="G440" s="83"/>
      <c r="H440" s="83"/>
      <c r="I440" s="83"/>
      <c r="J440" s="83"/>
      <c r="L440" s="28"/>
    </row>
    <row r="441" spans="5:12" ht="15.75" customHeight="1" x14ac:dyDescent="0.2">
      <c r="E441" s="83"/>
      <c r="F441" s="83"/>
      <c r="G441" s="83"/>
      <c r="H441" s="83"/>
      <c r="I441" s="83"/>
      <c r="J441" s="83"/>
      <c r="L441" s="28"/>
    </row>
    <row r="442" spans="5:12" ht="15.75" customHeight="1" x14ac:dyDescent="0.2">
      <c r="E442" s="83"/>
      <c r="F442" s="83"/>
      <c r="G442" s="83"/>
      <c r="H442" s="83"/>
      <c r="I442" s="83"/>
      <c r="J442" s="83"/>
      <c r="L442" s="28"/>
    </row>
    <row r="443" spans="5:12" ht="15.75" customHeight="1" x14ac:dyDescent="0.2">
      <c r="E443" s="83"/>
      <c r="F443" s="83"/>
      <c r="G443" s="83"/>
      <c r="H443" s="83"/>
      <c r="I443" s="83"/>
      <c r="J443" s="83"/>
      <c r="L443" s="28"/>
    </row>
    <row r="444" spans="5:12" ht="15.75" customHeight="1" x14ac:dyDescent="0.2">
      <c r="E444" s="83"/>
      <c r="F444" s="83"/>
      <c r="G444" s="83"/>
      <c r="H444" s="83"/>
      <c r="I444" s="83"/>
      <c r="J444" s="83"/>
      <c r="L444" s="28"/>
    </row>
    <row r="445" spans="5:12" ht="15.75" customHeight="1" x14ac:dyDescent="0.2">
      <c r="E445" s="83"/>
      <c r="F445" s="83"/>
      <c r="G445" s="83"/>
      <c r="H445" s="83"/>
      <c r="I445" s="83"/>
      <c r="J445" s="83"/>
      <c r="L445" s="28"/>
    </row>
    <row r="446" spans="5:12" ht="15.75" customHeight="1" x14ac:dyDescent="0.2">
      <c r="E446" s="83"/>
      <c r="F446" s="83"/>
      <c r="G446" s="83"/>
      <c r="H446" s="83"/>
      <c r="I446" s="83"/>
      <c r="J446" s="83"/>
      <c r="L446" s="28"/>
    </row>
    <row r="447" spans="5:12" ht="15.75" customHeight="1" x14ac:dyDescent="0.2">
      <c r="E447" s="83"/>
      <c r="F447" s="83"/>
      <c r="G447" s="83"/>
      <c r="H447" s="83"/>
      <c r="I447" s="83"/>
      <c r="J447" s="83"/>
      <c r="L447" s="28"/>
    </row>
    <row r="448" spans="5:12" ht="15.75" customHeight="1" x14ac:dyDescent="0.2">
      <c r="E448" s="83"/>
      <c r="F448" s="83"/>
      <c r="G448" s="83"/>
      <c r="H448" s="83"/>
      <c r="I448" s="83"/>
      <c r="J448" s="83"/>
      <c r="L448" s="28"/>
    </row>
    <row r="449" spans="5:12" ht="15.75" customHeight="1" x14ac:dyDescent="0.2">
      <c r="E449" s="83"/>
      <c r="F449" s="83"/>
      <c r="G449" s="83"/>
      <c r="H449" s="83"/>
      <c r="I449" s="83"/>
      <c r="J449" s="83"/>
      <c r="L449" s="28"/>
    </row>
    <row r="450" spans="5:12" ht="15.75" customHeight="1" x14ac:dyDescent="0.2">
      <c r="E450" s="83"/>
      <c r="F450" s="83"/>
      <c r="G450" s="83"/>
      <c r="H450" s="83"/>
      <c r="I450" s="83"/>
      <c r="J450" s="83"/>
      <c r="L450" s="28"/>
    </row>
    <row r="451" spans="5:12" ht="15.75" customHeight="1" x14ac:dyDescent="0.2">
      <c r="E451" s="83"/>
      <c r="F451" s="83"/>
      <c r="G451" s="83"/>
      <c r="H451" s="83"/>
      <c r="I451" s="83"/>
      <c r="J451" s="83"/>
      <c r="L451" s="28"/>
    </row>
    <row r="452" spans="5:12" ht="15.75" customHeight="1" x14ac:dyDescent="0.2">
      <c r="E452" s="83"/>
      <c r="F452" s="83"/>
      <c r="G452" s="83"/>
      <c r="H452" s="83"/>
      <c r="I452" s="83"/>
      <c r="J452" s="83"/>
      <c r="L452" s="28"/>
    </row>
    <row r="453" spans="5:12" ht="15.75" customHeight="1" x14ac:dyDescent="0.2">
      <c r="E453" s="83"/>
      <c r="F453" s="83"/>
      <c r="G453" s="83"/>
      <c r="H453" s="83"/>
      <c r="I453" s="83"/>
      <c r="J453" s="83"/>
      <c r="L453" s="28"/>
    </row>
    <row r="454" spans="5:12" ht="15.75" customHeight="1" x14ac:dyDescent="0.2">
      <c r="E454" s="83"/>
      <c r="F454" s="83"/>
      <c r="G454" s="83"/>
      <c r="H454" s="83"/>
      <c r="I454" s="83"/>
      <c r="J454" s="83"/>
      <c r="L454" s="28"/>
    </row>
    <row r="455" spans="5:12" ht="15.75" customHeight="1" x14ac:dyDescent="0.2">
      <c r="E455" s="83"/>
      <c r="F455" s="83"/>
      <c r="G455" s="83"/>
      <c r="H455" s="83"/>
      <c r="I455" s="83"/>
      <c r="J455" s="83"/>
      <c r="L455" s="28"/>
    </row>
    <row r="456" spans="5:12" ht="15.75" customHeight="1" x14ac:dyDescent="0.2">
      <c r="E456" s="83"/>
      <c r="F456" s="83"/>
      <c r="G456" s="83"/>
      <c r="H456" s="83"/>
      <c r="I456" s="83"/>
      <c r="J456" s="83"/>
      <c r="L456" s="28"/>
    </row>
    <row r="457" spans="5:12" ht="15.75" customHeight="1" x14ac:dyDescent="0.2">
      <c r="E457" s="83"/>
      <c r="F457" s="83"/>
      <c r="G457" s="83"/>
      <c r="H457" s="83"/>
      <c r="I457" s="83"/>
      <c r="J457" s="83"/>
      <c r="L457" s="28"/>
    </row>
    <row r="458" spans="5:12" ht="15.75" customHeight="1" x14ac:dyDescent="0.2">
      <c r="E458" s="83"/>
      <c r="F458" s="83"/>
      <c r="G458" s="83"/>
      <c r="H458" s="83"/>
      <c r="I458" s="83"/>
      <c r="J458" s="83"/>
      <c r="L458" s="28"/>
    </row>
    <row r="459" spans="5:12" ht="15.75" customHeight="1" x14ac:dyDescent="0.2">
      <c r="E459" s="83"/>
      <c r="F459" s="83"/>
      <c r="G459" s="83"/>
      <c r="H459" s="83"/>
      <c r="I459" s="83"/>
      <c r="J459" s="83"/>
      <c r="L459" s="28"/>
    </row>
    <row r="460" spans="5:12" ht="15.75" customHeight="1" x14ac:dyDescent="0.2">
      <c r="E460" s="83"/>
      <c r="F460" s="83"/>
      <c r="G460" s="83"/>
      <c r="H460" s="83"/>
      <c r="I460" s="83"/>
      <c r="J460" s="83"/>
      <c r="L460" s="28"/>
    </row>
    <row r="461" spans="5:12" ht="15.75" customHeight="1" x14ac:dyDescent="0.2">
      <c r="E461" s="83"/>
      <c r="F461" s="83"/>
      <c r="G461" s="83"/>
      <c r="H461" s="83"/>
      <c r="I461" s="83"/>
      <c r="J461" s="83"/>
      <c r="L461" s="28"/>
    </row>
    <row r="462" spans="5:12" ht="15.75" customHeight="1" x14ac:dyDescent="0.2">
      <c r="E462" s="83"/>
      <c r="F462" s="83"/>
      <c r="G462" s="83"/>
      <c r="H462" s="83"/>
      <c r="I462" s="83"/>
      <c r="J462" s="83"/>
      <c r="L462" s="28"/>
    </row>
    <row r="463" spans="5:12" ht="15.75" customHeight="1" x14ac:dyDescent="0.2">
      <c r="E463" s="83"/>
      <c r="F463" s="83"/>
      <c r="G463" s="83"/>
      <c r="H463" s="83"/>
      <c r="I463" s="83"/>
      <c r="J463" s="83"/>
      <c r="L463" s="28"/>
    </row>
    <row r="464" spans="5:12" ht="15.75" customHeight="1" x14ac:dyDescent="0.2">
      <c r="E464" s="83"/>
      <c r="F464" s="83"/>
      <c r="G464" s="83"/>
      <c r="H464" s="83"/>
      <c r="I464" s="83"/>
      <c r="J464" s="83"/>
      <c r="L464" s="28"/>
    </row>
    <row r="465" spans="5:12" ht="15.75" customHeight="1" x14ac:dyDescent="0.2">
      <c r="E465" s="83"/>
      <c r="F465" s="83"/>
      <c r="G465" s="83"/>
      <c r="H465" s="83"/>
      <c r="I465" s="83"/>
      <c r="J465" s="83"/>
      <c r="L465" s="28"/>
    </row>
    <row r="466" spans="5:12" ht="15.75" customHeight="1" x14ac:dyDescent="0.2">
      <c r="E466" s="83"/>
      <c r="F466" s="83"/>
      <c r="G466" s="83"/>
      <c r="H466" s="83"/>
      <c r="I466" s="83"/>
      <c r="J466" s="83"/>
      <c r="L466" s="28"/>
    </row>
    <row r="467" spans="5:12" ht="15.75" customHeight="1" x14ac:dyDescent="0.2">
      <c r="E467" s="83"/>
      <c r="F467" s="83"/>
      <c r="G467" s="83"/>
      <c r="H467" s="83"/>
      <c r="I467" s="83"/>
      <c r="J467" s="83"/>
      <c r="L467" s="28"/>
    </row>
    <row r="468" spans="5:12" ht="15.75" customHeight="1" x14ac:dyDescent="0.2">
      <c r="E468" s="83"/>
      <c r="F468" s="83"/>
      <c r="G468" s="83"/>
      <c r="H468" s="83"/>
      <c r="I468" s="83"/>
      <c r="J468" s="83"/>
      <c r="L468" s="28"/>
    </row>
    <row r="469" spans="5:12" ht="15.75" customHeight="1" x14ac:dyDescent="0.2">
      <c r="E469" s="83"/>
      <c r="F469" s="83"/>
      <c r="G469" s="83"/>
      <c r="H469" s="83"/>
      <c r="I469" s="83"/>
      <c r="J469" s="83"/>
      <c r="L469" s="28"/>
    </row>
    <row r="470" spans="5:12" ht="15.75" customHeight="1" x14ac:dyDescent="0.2">
      <c r="E470" s="83"/>
      <c r="F470" s="83"/>
      <c r="G470" s="83"/>
      <c r="H470" s="83"/>
      <c r="I470" s="83"/>
      <c r="J470" s="83"/>
      <c r="L470" s="28"/>
    </row>
    <row r="471" spans="5:12" ht="15.75" customHeight="1" x14ac:dyDescent="0.2">
      <c r="E471" s="83"/>
      <c r="F471" s="83"/>
      <c r="G471" s="83"/>
      <c r="H471" s="83"/>
      <c r="I471" s="83"/>
      <c r="J471" s="83"/>
      <c r="L471" s="28"/>
    </row>
    <row r="472" spans="5:12" ht="15.75" customHeight="1" x14ac:dyDescent="0.2">
      <c r="E472" s="83"/>
      <c r="F472" s="83"/>
      <c r="G472" s="83"/>
      <c r="H472" s="83"/>
      <c r="I472" s="83"/>
      <c r="J472" s="83"/>
      <c r="L472" s="28"/>
    </row>
    <row r="473" spans="5:12" ht="15.75" customHeight="1" x14ac:dyDescent="0.2">
      <c r="E473" s="83"/>
      <c r="F473" s="83"/>
      <c r="G473" s="83"/>
      <c r="H473" s="83"/>
      <c r="I473" s="83"/>
      <c r="J473" s="83"/>
      <c r="L473" s="28"/>
    </row>
    <row r="474" spans="5:12" ht="15.75" customHeight="1" x14ac:dyDescent="0.2">
      <c r="E474" s="83"/>
      <c r="F474" s="83"/>
      <c r="G474" s="83"/>
      <c r="H474" s="83"/>
      <c r="I474" s="83"/>
      <c r="J474" s="83"/>
      <c r="L474" s="28"/>
    </row>
    <row r="475" spans="5:12" ht="15.75" customHeight="1" x14ac:dyDescent="0.2">
      <c r="E475" s="83"/>
      <c r="F475" s="83"/>
      <c r="G475" s="83"/>
      <c r="H475" s="83"/>
      <c r="I475" s="83"/>
      <c r="J475" s="83"/>
      <c r="L475" s="28"/>
    </row>
    <row r="476" spans="5:12" ht="15.75" customHeight="1" x14ac:dyDescent="0.2">
      <c r="E476" s="83"/>
      <c r="F476" s="83"/>
      <c r="G476" s="83"/>
      <c r="H476" s="83"/>
      <c r="I476" s="83"/>
      <c r="J476" s="83"/>
      <c r="L476" s="28"/>
    </row>
    <row r="477" spans="5:12" ht="15.75" customHeight="1" x14ac:dyDescent="0.2">
      <c r="E477" s="83"/>
      <c r="F477" s="83"/>
      <c r="G477" s="83"/>
      <c r="H477" s="83"/>
      <c r="I477" s="83"/>
      <c r="J477" s="83"/>
      <c r="L477" s="28"/>
    </row>
    <row r="478" spans="5:12" ht="15.75" customHeight="1" x14ac:dyDescent="0.2">
      <c r="E478" s="83"/>
      <c r="F478" s="83"/>
      <c r="G478" s="83"/>
      <c r="H478" s="83"/>
      <c r="I478" s="83"/>
      <c r="J478" s="83"/>
      <c r="L478" s="28"/>
    </row>
    <row r="479" spans="5:12" ht="15.75" customHeight="1" x14ac:dyDescent="0.2">
      <c r="E479" s="83"/>
      <c r="F479" s="83"/>
      <c r="G479" s="83"/>
      <c r="H479" s="83"/>
      <c r="I479" s="83"/>
      <c r="J479" s="83"/>
      <c r="L479" s="28"/>
    </row>
    <row r="480" spans="5:12" ht="15.75" customHeight="1" x14ac:dyDescent="0.2">
      <c r="E480" s="83"/>
      <c r="F480" s="83"/>
      <c r="G480" s="83"/>
      <c r="H480" s="83"/>
      <c r="I480" s="83"/>
      <c r="J480" s="83"/>
      <c r="L480" s="28"/>
    </row>
    <row r="481" spans="5:12" ht="15.75" customHeight="1" x14ac:dyDescent="0.2">
      <c r="E481" s="83"/>
      <c r="F481" s="83"/>
      <c r="G481" s="83"/>
      <c r="H481" s="83"/>
      <c r="I481" s="83"/>
      <c r="J481" s="83"/>
      <c r="L481" s="28"/>
    </row>
    <row r="482" spans="5:12" ht="15.75" customHeight="1" x14ac:dyDescent="0.2">
      <c r="E482" s="83"/>
      <c r="F482" s="83"/>
      <c r="G482" s="83"/>
      <c r="H482" s="83"/>
      <c r="I482" s="83"/>
      <c r="J482" s="83"/>
      <c r="L482" s="28"/>
    </row>
    <row r="483" spans="5:12" ht="15.75" customHeight="1" x14ac:dyDescent="0.2">
      <c r="E483" s="83"/>
      <c r="F483" s="83"/>
      <c r="G483" s="83"/>
      <c r="H483" s="83"/>
      <c r="I483" s="83"/>
      <c r="J483" s="83"/>
      <c r="L483" s="28"/>
    </row>
    <row r="484" spans="5:12" ht="15.75" customHeight="1" x14ac:dyDescent="0.2">
      <c r="E484" s="83"/>
      <c r="F484" s="83"/>
      <c r="G484" s="83"/>
      <c r="H484" s="83"/>
      <c r="I484" s="83"/>
      <c r="J484" s="83"/>
      <c r="L484" s="28"/>
    </row>
    <row r="485" spans="5:12" ht="15.75" customHeight="1" x14ac:dyDescent="0.2">
      <c r="E485" s="83"/>
      <c r="F485" s="83"/>
      <c r="G485" s="83"/>
      <c r="H485" s="83"/>
      <c r="I485" s="83"/>
      <c r="J485" s="83"/>
      <c r="L485" s="28"/>
    </row>
    <row r="486" spans="5:12" ht="15.75" customHeight="1" x14ac:dyDescent="0.2">
      <c r="E486" s="83"/>
      <c r="F486" s="83"/>
      <c r="G486" s="83"/>
      <c r="H486" s="83"/>
      <c r="I486" s="83"/>
      <c r="J486" s="83"/>
      <c r="L486" s="28"/>
    </row>
    <row r="487" spans="5:12" ht="15.75" customHeight="1" x14ac:dyDescent="0.2">
      <c r="E487" s="83"/>
      <c r="F487" s="83"/>
      <c r="G487" s="83"/>
      <c r="H487" s="83"/>
      <c r="I487" s="83"/>
      <c r="J487" s="83"/>
      <c r="L487" s="28"/>
    </row>
    <row r="488" spans="5:12" ht="15.75" customHeight="1" x14ac:dyDescent="0.2">
      <c r="E488" s="83"/>
      <c r="F488" s="83"/>
      <c r="G488" s="83"/>
      <c r="H488" s="83"/>
      <c r="I488" s="83"/>
      <c r="J488" s="83"/>
      <c r="L488" s="28"/>
    </row>
    <row r="489" spans="5:12" ht="15.75" customHeight="1" x14ac:dyDescent="0.2">
      <c r="E489" s="83"/>
      <c r="F489" s="83"/>
      <c r="G489" s="83"/>
      <c r="H489" s="83"/>
      <c r="I489" s="83"/>
      <c r="J489" s="83"/>
      <c r="L489" s="28"/>
    </row>
    <row r="490" spans="5:12" ht="15.75" customHeight="1" x14ac:dyDescent="0.2">
      <c r="E490" s="83"/>
      <c r="F490" s="83"/>
      <c r="G490" s="83"/>
      <c r="H490" s="83"/>
      <c r="I490" s="83"/>
      <c r="J490" s="83"/>
      <c r="L490" s="28"/>
    </row>
    <row r="491" spans="5:12" ht="15.75" customHeight="1" x14ac:dyDescent="0.2">
      <c r="E491" s="83"/>
      <c r="F491" s="83"/>
      <c r="G491" s="83"/>
      <c r="H491" s="83"/>
      <c r="I491" s="83"/>
      <c r="J491" s="83"/>
      <c r="L491" s="28"/>
    </row>
    <row r="492" spans="5:12" ht="15.75" customHeight="1" x14ac:dyDescent="0.2">
      <c r="E492" s="83"/>
      <c r="F492" s="83"/>
      <c r="G492" s="83"/>
      <c r="H492" s="83"/>
      <c r="I492" s="83"/>
      <c r="J492" s="83"/>
      <c r="L492" s="28"/>
    </row>
    <row r="493" spans="5:12" ht="15.75" customHeight="1" x14ac:dyDescent="0.2">
      <c r="E493" s="83"/>
      <c r="F493" s="83"/>
      <c r="G493" s="83"/>
      <c r="H493" s="83"/>
      <c r="I493" s="83"/>
      <c r="J493" s="83"/>
      <c r="L493" s="28"/>
    </row>
    <row r="494" spans="5:12" ht="15.75" customHeight="1" x14ac:dyDescent="0.2">
      <c r="E494" s="83"/>
      <c r="F494" s="83"/>
      <c r="G494" s="83"/>
      <c r="H494" s="83"/>
      <c r="I494" s="83"/>
      <c r="J494" s="83"/>
      <c r="L494" s="28"/>
    </row>
    <row r="495" spans="5:12" ht="15.75" customHeight="1" x14ac:dyDescent="0.2">
      <c r="E495" s="83"/>
      <c r="F495" s="83"/>
      <c r="G495" s="83"/>
      <c r="H495" s="83"/>
      <c r="I495" s="83"/>
      <c r="J495" s="83"/>
      <c r="L495" s="28"/>
    </row>
    <row r="496" spans="5:12" ht="15.75" customHeight="1" x14ac:dyDescent="0.2">
      <c r="E496" s="83"/>
      <c r="F496" s="83"/>
      <c r="G496" s="83"/>
      <c r="H496" s="83"/>
      <c r="I496" s="83"/>
      <c r="J496" s="83"/>
      <c r="L496" s="28"/>
    </row>
    <row r="497" spans="5:12" ht="15.75" customHeight="1" x14ac:dyDescent="0.2">
      <c r="E497" s="83"/>
      <c r="F497" s="83"/>
      <c r="G497" s="83"/>
      <c r="H497" s="83"/>
      <c r="I497" s="83"/>
      <c r="J497" s="83"/>
      <c r="L497" s="28"/>
    </row>
    <row r="498" spans="5:12" ht="15.75" customHeight="1" x14ac:dyDescent="0.2">
      <c r="E498" s="83"/>
      <c r="F498" s="83"/>
      <c r="G498" s="83"/>
      <c r="H498" s="83"/>
      <c r="I498" s="83"/>
      <c r="J498" s="83"/>
      <c r="L498" s="28"/>
    </row>
    <row r="499" spans="5:12" ht="15.75" customHeight="1" x14ac:dyDescent="0.2">
      <c r="E499" s="83"/>
      <c r="F499" s="83"/>
      <c r="G499" s="83"/>
      <c r="H499" s="83"/>
      <c r="I499" s="83"/>
      <c r="J499" s="83"/>
      <c r="L499" s="28"/>
    </row>
    <row r="500" spans="5:12" ht="15.75" customHeight="1" x14ac:dyDescent="0.2">
      <c r="E500" s="83"/>
      <c r="F500" s="83"/>
      <c r="G500" s="83"/>
      <c r="H500" s="83"/>
      <c r="I500" s="83"/>
      <c r="J500" s="83"/>
      <c r="L500" s="28"/>
    </row>
    <row r="501" spans="5:12" ht="15.75" customHeight="1" x14ac:dyDescent="0.2">
      <c r="E501" s="83"/>
      <c r="F501" s="83"/>
      <c r="G501" s="83"/>
      <c r="H501" s="83"/>
      <c r="I501" s="83"/>
      <c r="J501" s="83"/>
      <c r="L501" s="28"/>
    </row>
    <row r="502" spans="5:12" ht="15.75" customHeight="1" x14ac:dyDescent="0.2">
      <c r="E502" s="83"/>
      <c r="F502" s="83"/>
      <c r="G502" s="83"/>
      <c r="H502" s="83"/>
      <c r="I502" s="83"/>
      <c r="J502" s="83"/>
      <c r="L502" s="28"/>
    </row>
    <row r="503" spans="5:12" ht="15.75" customHeight="1" x14ac:dyDescent="0.2">
      <c r="E503" s="83"/>
      <c r="F503" s="83"/>
      <c r="G503" s="83"/>
      <c r="H503" s="83"/>
      <c r="I503" s="83"/>
      <c r="J503" s="83"/>
      <c r="L503" s="28"/>
    </row>
    <row r="504" spans="5:12" ht="15.75" customHeight="1" x14ac:dyDescent="0.2">
      <c r="E504" s="83"/>
      <c r="F504" s="83"/>
      <c r="G504" s="83"/>
      <c r="H504" s="83"/>
      <c r="I504" s="83"/>
      <c r="J504" s="83"/>
      <c r="L504" s="28"/>
    </row>
    <row r="505" spans="5:12" ht="15.75" customHeight="1" x14ac:dyDescent="0.2">
      <c r="E505" s="83"/>
      <c r="F505" s="83"/>
      <c r="G505" s="83"/>
      <c r="H505" s="83"/>
      <c r="I505" s="83"/>
      <c r="J505" s="83"/>
      <c r="L505" s="28"/>
    </row>
    <row r="506" spans="5:12" ht="15.75" customHeight="1" x14ac:dyDescent="0.2">
      <c r="E506" s="83"/>
      <c r="F506" s="83"/>
      <c r="G506" s="83"/>
      <c r="H506" s="83"/>
      <c r="I506" s="83"/>
      <c r="J506" s="83"/>
      <c r="L506" s="28"/>
    </row>
    <row r="507" spans="5:12" ht="15.75" customHeight="1" x14ac:dyDescent="0.2">
      <c r="E507" s="83"/>
      <c r="F507" s="83"/>
      <c r="G507" s="83"/>
      <c r="H507" s="83"/>
      <c r="I507" s="83"/>
      <c r="J507" s="83"/>
      <c r="L507" s="28"/>
    </row>
    <row r="508" spans="5:12" ht="15.75" customHeight="1" x14ac:dyDescent="0.2">
      <c r="E508" s="83"/>
      <c r="F508" s="83"/>
      <c r="G508" s="83"/>
      <c r="H508" s="83"/>
      <c r="I508" s="83"/>
      <c r="J508" s="83"/>
      <c r="L508" s="28"/>
    </row>
    <row r="509" spans="5:12" ht="15.75" customHeight="1" x14ac:dyDescent="0.2">
      <c r="E509" s="83"/>
      <c r="F509" s="83"/>
      <c r="G509" s="83"/>
      <c r="H509" s="83"/>
      <c r="I509" s="83"/>
      <c r="J509" s="83"/>
      <c r="L509" s="28"/>
    </row>
    <row r="510" spans="5:12" ht="15.75" customHeight="1" x14ac:dyDescent="0.2">
      <c r="E510" s="83"/>
      <c r="F510" s="83"/>
      <c r="G510" s="83"/>
      <c r="H510" s="83"/>
      <c r="I510" s="83"/>
      <c r="J510" s="83"/>
      <c r="L510" s="28"/>
    </row>
    <row r="511" spans="5:12" ht="15.75" customHeight="1" x14ac:dyDescent="0.2">
      <c r="E511" s="83"/>
      <c r="F511" s="83"/>
      <c r="G511" s="83"/>
      <c r="H511" s="83"/>
      <c r="I511" s="83"/>
      <c r="J511" s="83"/>
      <c r="L511" s="28"/>
    </row>
    <row r="512" spans="5:12" ht="15.75" customHeight="1" x14ac:dyDescent="0.2">
      <c r="E512" s="83"/>
      <c r="F512" s="83"/>
      <c r="G512" s="83"/>
      <c r="H512" s="83"/>
      <c r="I512" s="83"/>
      <c r="J512" s="83"/>
      <c r="L512" s="28"/>
    </row>
    <row r="513" spans="5:12" ht="15.75" customHeight="1" x14ac:dyDescent="0.2">
      <c r="E513" s="83"/>
      <c r="F513" s="83"/>
      <c r="G513" s="83"/>
      <c r="H513" s="83"/>
      <c r="I513" s="83"/>
      <c r="J513" s="83"/>
      <c r="L513" s="28"/>
    </row>
    <row r="514" spans="5:12" ht="15.75" customHeight="1" x14ac:dyDescent="0.2">
      <c r="E514" s="83"/>
      <c r="F514" s="83"/>
      <c r="G514" s="83"/>
      <c r="H514" s="83"/>
      <c r="I514" s="83"/>
      <c r="J514" s="83"/>
      <c r="L514" s="28"/>
    </row>
    <row r="515" spans="5:12" ht="15.75" customHeight="1" x14ac:dyDescent="0.2">
      <c r="E515" s="83"/>
      <c r="F515" s="83"/>
      <c r="G515" s="83"/>
      <c r="H515" s="83"/>
      <c r="I515" s="83"/>
      <c r="J515" s="83"/>
      <c r="L515" s="28"/>
    </row>
    <row r="516" spans="5:12" ht="15.75" customHeight="1" x14ac:dyDescent="0.2">
      <c r="E516" s="83"/>
      <c r="F516" s="83"/>
      <c r="G516" s="83"/>
      <c r="H516" s="83"/>
      <c r="I516" s="83"/>
      <c r="J516" s="83"/>
      <c r="L516" s="28"/>
    </row>
    <row r="517" spans="5:12" ht="15.75" customHeight="1" x14ac:dyDescent="0.2">
      <c r="E517" s="83"/>
      <c r="F517" s="83"/>
      <c r="G517" s="83"/>
      <c r="H517" s="83"/>
      <c r="I517" s="83"/>
      <c r="J517" s="83"/>
      <c r="L517" s="28"/>
    </row>
    <row r="518" spans="5:12" ht="15.75" customHeight="1" x14ac:dyDescent="0.2">
      <c r="E518" s="83"/>
      <c r="F518" s="83"/>
      <c r="G518" s="83"/>
      <c r="H518" s="83"/>
      <c r="I518" s="83"/>
      <c r="J518" s="83"/>
      <c r="L518" s="28"/>
    </row>
    <row r="519" spans="5:12" ht="15.75" customHeight="1" x14ac:dyDescent="0.2">
      <c r="E519" s="83"/>
      <c r="F519" s="83"/>
      <c r="G519" s="83"/>
      <c r="H519" s="83"/>
      <c r="I519" s="83"/>
      <c r="J519" s="83"/>
      <c r="L519" s="28"/>
    </row>
    <row r="520" spans="5:12" ht="15.75" customHeight="1" x14ac:dyDescent="0.2">
      <c r="E520" s="83"/>
      <c r="F520" s="83"/>
      <c r="G520" s="83"/>
      <c r="H520" s="83"/>
      <c r="I520" s="83"/>
      <c r="J520" s="83"/>
      <c r="L520" s="28"/>
    </row>
    <row r="521" spans="5:12" ht="15.75" customHeight="1" x14ac:dyDescent="0.2">
      <c r="E521" s="83"/>
      <c r="F521" s="83"/>
      <c r="G521" s="83"/>
      <c r="H521" s="83"/>
      <c r="I521" s="83"/>
      <c r="J521" s="83"/>
      <c r="L521" s="28"/>
    </row>
    <row r="522" spans="5:12" ht="15.75" customHeight="1" x14ac:dyDescent="0.2">
      <c r="E522" s="83"/>
      <c r="F522" s="83"/>
      <c r="G522" s="83"/>
      <c r="H522" s="83"/>
      <c r="I522" s="83"/>
      <c r="J522" s="83"/>
      <c r="L522" s="28"/>
    </row>
    <row r="523" spans="5:12" ht="15.75" customHeight="1" x14ac:dyDescent="0.2">
      <c r="E523" s="83"/>
      <c r="F523" s="83"/>
      <c r="G523" s="83"/>
      <c r="H523" s="83"/>
      <c r="I523" s="83"/>
      <c r="J523" s="83"/>
      <c r="L523" s="28"/>
    </row>
    <row r="524" spans="5:12" ht="15.75" customHeight="1" x14ac:dyDescent="0.2">
      <c r="E524" s="83"/>
      <c r="F524" s="83"/>
      <c r="G524" s="83"/>
      <c r="H524" s="83"/>
      <c r="I524" s="83"/>
      <c r="J524" s="83"/>
      <c r="L524" s="28"/>
    </row>
    <row r="525" spans="5:12" ht="15.75" customHeight="1" x14ac:dyDescent="0.2">
      <c r="E525" s="83"/>
      <c r="F525" s="83"/>
      <c r="G525" s="83"/>
      <c r="H525" s="83"/>
      <c r="I525" s="83"/>
      <c r="J525" s="83"/>
      <c r="L525" s="28"/>
    </row>
    <row r="526" spans="5:12" ht="15.75" customHeight="1" x14ac:dyDescent="0.2">
      <c r="E526" s="83"/>
      <c r="F526" s="83"/>
      <c r="G526" s="83"/>
      <c r="H526" s="83"/>
      <c r="I526" s="83"/>
      <c r="J526" s="83"/>
      <c r="L526" s="28"/>
    </row>
    <row r="527" spans="5:12" ht="15.75" customHeight="1" x14ac:dyDescent="0.2">
      <c r="E527" s="83"/>
      <c r="F527" s="83"/>
      <c r="G527" s="83"/>
      <c r="H527" s="83"/>
      <c r="I527" s="83"/>
      <c r="J527" s="83"/>
      <c r="L527" s="28"/>
    </row>
    <row r="528" spans="5:12" ht="15.75" customHeight="1" x14ac:dyDescent="0.2">
      <c r="E528" s="83"/>
      <c r="F528" s="83"/>
      <c r="G528" s="83"/>
      <c r="H528" s="83"/>
      <c r="I528" s="83"/>
      <c r="J528" s="83"/>
      <c r="L528" s="28"/>
    </row>
    <row r="529" spans="5:12" ht="15.75" customHeight="1" x14ac:dyDescent="0.2">
      <c r="E529" s="83"/>
      <c r="F529" s="83"/>
      <c r="G529" s="83"/>
      <c r="H529" s="83"/>
      <c r="I529" s="83"/>
      <c r="J529" s="83"/>
      <c r="L529" s="28"/>
    </row>
    <row r="530" spans="5:12" ht="15.75" customHeight="1" x14ac:dyDescent="0.2">
      <c r="E530" s="83"/>
      <c r="F530" s="83"/>
      <c r="G530" s="83"/>
      <c r="H530" s="83"/>
      <c r="I530" s="83"/>
      <c r="J530" s="83"/>
      <c r="L530" s="28"/>
    </row>
    <row r="531" spans="5:12" ht="15.75" customHeight="1" x14ac:dyDescent="0.2">
      <c r="E531" s="83"/>
      <c r="F531" s="83"/>
      <c r="G531" s="83"/>
      <c r="H531" s="83"/>
      <c r="I531" s="83"/>
      <c r="J531" s="83"/>
      <c r="L531" s="28"/>
    </row>
    <row r="532" spans="5:12" ht="15.75" customHeight="1" x14ac:dyDescent="0.2">
      <c r="E532" s="83"/>
      <c r="F532" s="83"/>
      <c r="G532" s="83"/>
      <c r="H532" s="83"/>
      <c r="I532" s="83"/>
      <c r="J532" s="83"/>
      <c r="L532" s="28"/>
    </row>
    <row r="533" spans="5:12" ht="15.75" customHeight="1" x14ac:dyDescent="0.2">
      <c r="E533" s="83"/>
      <c r="F533" s="83"/>
      <c r="G533" s="83"/>
      <c r="H533" s="83"/>
      <c r="I533" s="83"/>
      <c r="J533" s="83"/>
      <c r="L533" s="28"/>
    </row>
    <row r="534" spans="5:12" ht="15.75" customHeight="1" x14ac:dyDescent="0.2">
      <c r="E534" s="83"/>
      <c r="F534" s="83"/>
      <c r="G534" s="83"/>
      <c r="H534" s="83"/>
      <c r="I534" s="83"/>
      <c r="J534" s="83"/>
      <c r="L534" s="28"/>
    </row>
    <row r="535" spans="5:12" ht="15.75" customHeight="1" x14ac:dyDescent="0.2">
      <c r="E535" s="83"/>
      <c r="F535" s="83"/>
      <c r="G535" s="83"/>
      <c r="H535" s="83"/>
      <c r="I535" s="83"/>
      <c r="J535" s="83"/>
      <c r="L535" s="28"/>
    </row>
    <row r="536" spans="5:12" ht="15.75" customHeight="1" x14ac:dyDescent="0.2">
      <c r="E536" s="83"/>
      <c r="F536" s="83"/>
      <c r="G536" s="83"/>
      <c r="H536" s="83"/>
      <c r="I536" s="83"/>
      <c r="J536" s="83"/>
      <c r="L536" s="28"/>
    </row>
    <row r="537" spans="5:12" ht="15.75" customHeight="1" x14ac:dyDescent="0.2">
      <c r="E537" s="83"/>
      <c r="F537" s="83"/>
      <c r="G537" s="83"/>
      <c r="H537" s="83"/>
      <c r="I537" s="83"/>
      <c r="J537" s="83"/>
      <c r="L537" s="28"/>
    </row>
    <row r="538" spans="5:12" ht="15.75" customHeight="1" x14ac:dyDescent="0.2">
      <c r="E538" s="83"/>
      <c r="F538" s="83"/>
      <c r="G538" s="83"/>
      <c r="H538" s="83"/>
      <c r="I538" s="83"/>
      <c r="J538" s="83"/>
      <c r="L538" s="28"/>
    </row>
    <row r="539" spans="5:12" ht="15.75" customHeight="1" x14ac:dyDescent="0.2">
      <c r="E539" s="83"/>
      <c r="F539" s="83"/>
      <c r="G539" s="83"/>
      <c r="H539" s="83"/>
      <c r="I539" s="83"/>
      <c r="J539" s="83"/>
      <c r="L539" s="28"/>
    </row>
    <row r="540" spans="5:12" ht="15.75" customHeight="1" x14ac:dyDescent="0.2">
      <c r="E540" s="83"/>
      <c r="F540" s="83"/>
      <c r="G540" s="83"/>
      <c r="H540" s="83"/>
      <c r="I540" s="83"/>
      <c r="J540" s="83"/>
      <c r="L540" s="28"/>
    </row>
    <row r="541" spans="5:12" ht="15.75" customHeight="1" x14ac:dyDescent="0.2">
      <c r="E541" s="83"/>
      <c r="F541" s="83"/>
      <c r="G541" s="83"/>
      <c r="H541" s="83"/>
      <c r="I541" s="83"/>
      <c r="J541" s="83"/>
      <c r="L541" s="28"/>
    </row>
    <row r="542" spans="5:12" ht="15.75" customHeight="1" x14ac:dyDescent="0.2">
      <c r="E542" s="83"/>
      <c r="F542" s="83"/>
      <c r="G542" s="83"/>
      <c r="H542" s="83"/>
      <c r="I542" s="83"/>
      <c r="J542" s="83"/>
      <c r="L542" s="28"/>
    </row>
    <row r="543" spans="5:12" ht="15.75" customHeight="1" x14ac:dyDescent="0.2">
      <c r="E543" s="83"/>
      <c r="F543" s="83"/>
      <c r="G543" s="83"/>
      <c r="H543" s="83"/>
      <c r="I543" s="83"/>
      <c r="J543" s="83"/>
      <c r="L543" s="28"/>
    </row>
    <row r="544" spans="5:12" ht="15.75" customHeight="1" x14ac:dyDescent="0.2">
      <c r="E544" s="83"/>
      <c r="F544" s="83"/>
      <c r="G544" s="83"/>
      <c r="H544" s="83"/>
      <c r="I544" s="83"/>
      <c r="J544" s="83"/>
      <c r="L544" s="28"/>
    </row>
    <row r="545" spans="5:12" ht="15.75" customHeight="1" x14ac:dyDescent="0.2">
      <c r="E545" s="83"/>
      <c r="F545" s="83"/>
      <c r="G545" s="83"/>
      <c r="H545" s="83"/>
      <c r="I545" s="83"/>
      <c r="J545" s="83"/>
      <c r="L545" s="28"/>
    </row>
    <row r="546" spans="5:12" ht="15.75" customHeight="1" x14ac:dyDescent="0.2">
      <c r="E546" s="83"/>
      <c r="F546" s="83"/>
      <c r="G546" s="83"/>
      <c r="H546" s="83"/>
      <c r="I546" s="83"/>
      <c r="J546" s="83"/>
      <c r="L546" s="28"/>
    </row>
    <row r="547" spans="5:12" ht="15.75" customHeight="1" x14ac:dyDescent="0.2">
      <c r="E547" s="83"/>
      <c r="F547" s="83"/>
      <c r="G547" s="83"/>
      <c r="H547" s="83"/>
      <c r="I547" s="83"/>
      <c r="J547" s="83"/>
      <c r="L547" s="28"/>
    </row>
    <row r="548" spans="5:12" ht="15.75" customHeight="1" x14ac:dyDescent="0.2">
      <c r="E548" s="83"/>
      <c r="F548" s="83"/>
      <c r="G548" s="83"/>
      <c r="H548" s="83"/>
      <c r="I548" s="83"/>
      <c r="J548" s="83"/>
      <c r="L548" s="28"/>
    </row>
    <row r="549" spans="5:12" ht="15.75" customHeight="1" x14ac:dyDescent="0.2">
      <c r="E549" s="83"/>
      <c r="F549" s="83"/>
      <c r="G549" s="83"/>
      <c r="H549" s="83"/>
      <c r="I549" s="83"/>
      <c r="J549" s="83"/>
      <c r="L549" s="28"/>
    </row>
    <row r="550" spans="5:12" ht="15.75" customHeight="1" x14ac:dyDescent="0.2">
      <c r="E550" s="83"/>
      <c r="F550" s="83"/>
      <c r="G550" s="83"/>
      <c r="H550" s="83"/>
      <c r="I550" s="83"/>
      <c r="J550" s="83"/>
      <c r="L550" s="28"/>
    </row>
    <row r="551" spans="5:12" ht="15.75" customHeight="1" x14ac:dyDescent="0.2">
      <c r="E551" s="83"/>
      <c r="F551" s="83"/>
      <c r="G551" s="83"/>
      <c r="H551" s="83"/>
      <c r="I551" s="83"/>
      <c r="J551" s="83"/>
      <c r="L551" s="28"/>
    </row>
    <row r="552" spans="5:12" ht="15.75" customHeight="1" x14ac:dyDescent="0.2">
      <c r="E552" s="83"/>
      <c r="F552" s="83"/>
      <c r="G552" s="83"/>
      <c r="H552" s="83"/>
      <c r="I552" s="83"/>
      <c r="J552" s="83"/>
      <c r="L552" s="28"/>
    </row>
    <row r="553" spans="5:12" ht="15.75" customHeight="1" x14ac:dyDescent="0.2">
      <c r="E553" s="83"/>
      <c r="F553" s="83"/>
      <c r="G553" s="83"/>
      <c r="H553" s="83"/>
      <c r="I553" s="83"/>
      <c r="J553" s="83"/>
      <c r="L553" s="28"/>
    </row>
    <row r="554" spans="5:12" ht="15.75" customHeight="1" x14ac:dyDescent="0.2">
      <c r="E554" s="83"/>
      <c r="F554" s="83"/>
      <c r="G554" s="83"/>
      <c r="H554" s="83"/>
      <c r="I554" s="83"/>
      <c r="J554" s="83"/>
      <c r="L554" s="28"/>
    </row>
    <row r="555" spans="5:12" ht="15.75" customHeight="1" x14ac:dyDescent="0.2">
      <c r="E555" s="83"/>
      <c r="F555" s="83"/>
      <c r="G555" s="83"/>
      <c r="H555" s="83"/>
      <c r="I555" s="83"/>
      <c r="J555" s="83"/>
      <c r="L555" s="28"/>
    </row>
    <row r="556" spans="5:12" ht="15.75" customHeight="1" x14ac:dyDescent="0.2">
      <c r="E556" s="83"/>
      <c r="F556" s="83"/>
      <c r="G556" s="83"/>
      <c r="H556" s="83"/>
      <c r="I556" s="83"/>
      <c r="J556" s="83"/>
      <c r="L556" s="28"/>
    </row>
    <row r="557" spans="5:12" ht="15.75" customHeight="1" x14ac:dyDescent="0.2">
      <c r="E557" s="83"/>
      <c r="F557" s="83"/>
      <c r="G557" s="83"/>
      <c r="H557" s="83"/>
      <c r="I557" s="83"/>
      <c r="J557" s="83"/>
      <c r="L557" s="28"/>
    </row>
    <row r="558" spans="5:12" ht="15.75" customHeight="1" x14ac:dyDescent="0.2">
      <c r="E558" s="83"/>
      <c r="F558" s="83"/>
      <c r="G558" s="83"/>
      <c r="H558" s="83"/>
      <c r="I558" s="83"/>
      <c r="J558" s="83"/>
      <c r="L558" s="28"/>
    </row>
    <row r="559" spans="5:12" ht="15.75" customHeight="1" x14ac:dyDescent="0.2">
      <c r="E559" s="83"/>
      <c r="F559" s="83"/>
      <c r="G559" s="83"/>
      <c r="H559" s="83"/>
      <c r="I559" s="83"/>
      <c r="J559" s="83"/>
      <c r="L559" s="28"/>
    </row>
    <row r="560" spans="5:12" ht="15.75" customHeight="1" x14ac:dyDescent="0.2">
      <c r="E560" s="83"/>
      <c r="F560" s="83"/>
      <c r="G560" s="83"/>
      <c r="H560" s="83"/>
      <c r="I560" s="83"/>
      <c r="J560" s="83"/>
      <c r="L560" s="28"/>
    </row>
    <row r="561" spans="5:12" ht="15.75" customHeight="1" x14ac:dyDescent="0.2">
      <c r="E561" s="83"/>
      <c r="F561" s="83"/>
      <c r="G561" s="83"/>
      <c r="H561" s="83"/>
      <c r="I561" s="83"/>
      <c r="J561" s="83"/>
      <c r="L561" s="28"/>
    </row>
    <row r="562" spans="5:12" ht="15.75" customHeight="1" x14ac:dyDescent="0.2">
      <c r="E562" s="83"/>
      <c r="F562" s="83"/>
      <c r="G562" s="83"/>
      <c r="H562" s="83"/>
      <c r="I562" s="83"/>
      <c r="J562" s="83"/>
      <c r="L562" s="28"/>
    </row>
    <row r="563" spans="5:12" ht="15.75" customHeight="1" x14ac:dyDescent="0.2">
      <c r="E563" s="83"/>
      <c r="F563" s="83"/>
      <c r="G563" s="83"/>
      <c r="H563" s="83"/>
      <c r="I563" s="83"/>
      <c r="J563" s="83"/>
      <c r="L563" s="28"/>
    </row>
    <row r="564" spans="5:12" ht="15.75" customHeight="1" x14ac:dyDescent="0.2">
      <c r="E564" s="83"/>
      <c r="F564" s="83"/>
      <c r="G564" s="83"/>
      <c r="H564" s="83"/>
      <c r="I564" s="83"/>
      <c r="J564" s="83"/>
      <c r="L564" s="28"/>
    </row>
    <row r="565" spans="5:12" ht="15.75" customHeight="1" x14ac:dyDescent="0.2">
      <c r="E565" s="83"/>
      <c r="F565" s="83"/>
      <c r="G565" s="83"/>
      <c r="H565" s="83"/>
      <c r="I565" s="83"/>
      <c r="J565" s="83"/>
      <c r="L565" s="28"/>
    </row>
    <row r="566" spans="5:12" ht="15.75" customHeight="1" x14ac:dyDescent="0.2">
      <c r="E566" s="83"/>
      <c r="F566" s="83"/>
      <c r="G566" s="83"/>
      <c r="H566" s="83"/>
      <c r="I566" s="83"/>
      <c r="J566" s="83"/>
      <c r="L566" s="28"/>
    </row>
    <row r="567" spans="5:12" ht="15.75" customHeight="1" x14ac:dyDescent="0.2">
      <c r="E567" s="83"/>
      <c r="F567" s="83"/>
      <c r="G567" s="83"/>
      <c r="H567" s="83"/>
      <c r="I567" s="83"/>
      <c r="J567" s="83"/>
      <c r="L567" s="28"/>
    </row>
    <row r="568" spans="5:12" ht="15.75" customHeight="1" x14ac:dyDescent="0.2">
      <c r="E568" s="83"/>
      <c r="F568" s="83"/>
      <c r="G568" s="83"/>
      <c r="H568" s="83"/>
      <c r="I568" s="83"/>
      <c r="J568" s="83"/>
      <c r="L568" s="28"/>
    </row>
    <row r="569" spans="5:12" ht="15.75" customHeight="1" x14ac:dyDescent="0.2">
      <c r="E569" s="83"/>
      <c r="F569" s="83"/>
      <c r="G569" s="83"/>
      <c r="H569" s="83"/>
      <c r="I569" s="83"/>
      <c r="J569" s="83"/>
      <c r="L569" s="28"/>
    </row>
    <row r="570" spans="5:12" ht="15.75" customHeight="1" x14ac:dyDescent="0.2">
      <c r="E570" s="83"/>
      <c r="F570" s="83"/>
      <c r="G570" s="83"/>
      <c r="H570" s="83"/>
      <c r="I570" s="83"/>
      <c r="J570" s="83"/>
      <c r="L570" s="28"/>
    </row>
    <row r="571" spans="5:12" ht="15.75" customHeight="1" x14ac:dyDescent="0.2">
      <c r="E571" s="83"/>
      <c r="F571" s="83"/>
      <c r="G571" s="83"/>
      <c r="H571" s="83"/>
      <c r="I571" s="83"/>
      <c r="J571" s="83"/>
      <c r="L571" s="28"/>
    </row>
    <row r="572" spans="5:12" ht="15.75" customHeight="1" x14ac:dyDescent="0.2">
      <c r="E572" s="83"/>
      <c r="F572" s="83"/>
      <c r="G572" s="83"/>
      <c r="H572" s="83"/>
      <c r="I572" s="83"/>
      <c r="J572" s="83"/>
      <c r="L572" s="28"/>
    </row>
    <row r="573" spans="5:12" ht="15.75" customHeight="1" x14ac:dyDescent="0.2">
      <c r="E573" s="83"/>
      <c r="F573" s="83"/>
      <c r="G573" s="83"/>
      <c r="H573" s="83"/>
      <c r="I573" s="83"/>
      <c r="J573" s="83"/>
      <c r="L573" s="28"/>
    </row>
    <row r="574" spans="5:12" ht="15.75" customHeight="1" x14ac:dyDescent="0.2">
      <c r="E574" s="83"/>
      <c r="F574" s="83"/>
      <c r="G574" s="83"/>
      <c r="H574" s="83"/>
      <c r="I574" s="83"/>
      <c r="J574" s="83"/>
      <c r="L574" s="28"/>
    </row>
    <row r="575" spans="5:12" ht="15.75" customHeight="1" x14ac:dyDescent="0.2">
      <c r="E575" s="83"/>
      <c r="F575" s="83"/>
      <c r="G575" s="83"/>
      <c r="H575" s="83"/>
      <c r="I575" s="83"/>
      <c r="J575" s="83"/>
      <c r="L575" s="28"/>
    </row>
    <row r="576" spans="5:12" ht="15.75" customHeight="1" x14ac:dyDescent="0.2">
      <c r="E576" s="83"/>
      <c r="F576" s="83"/>
      <c r="G576" s="83"/>
      <c r="H576" s="83"/>
      <c r="I576" s="83"/>
      <c r="J576" s="83"/>
      <c r="L576" s="28"/>
    </row>
    <row r="577" spans="5:12" ht="15.75" customHeight="1" x14ac:dyDescent="0.2">
      <c r="E577" s="83"/>
      <c r="F577" s="83"/>
      <c r="G577" s="83"/>
      <c r="H577" s="83"/>
      <c r="I577" s="83"/>
      <c r="J577" s="83"/>
      <c r="L577" s="28"/>
    </row>
    <row r="578" spans="5:12" ht="15.75" customHeight="1" x14ac:dyDescent="0.2">
      <c r="E578" s="83"/>
      <c r="F578" s="83"/>
      <c r="G578" s="83"/>
      <c r="H578" s="83"/>
      <c r="I578" s="83"/>
      <c r="J578" s="83"/>
      <c r="L578" s="28"/>
    </row>
    <row r="579" spans="5:12" ht="15.75" customHeight="1" x14ac:dyDescent="0.2">
      <c r="E579" s="83"/>
      <c r="F579" s="83"/>
      <c r="G579" s="83"/>
      <c r="H579" s="83"/>
      <c r="I579" s="83"/>
      <c r="J579" s="83"/>
      <c r="L579" s="28"/>
    </row>
    <row r="580" spans="5:12" ht="15.75" customHeight="1" x14ac:dyDescent="0.2">
      <c r="E580" s="83"/>
      <c r="F580" s="83"/>
      <c r="G580" s="83"/>
      <c r="H580" s="83"/>
      <c r="I580" s="83"/>
      <c r="J580" s="83"/>
      <c r="L580" s="28"/>
    </row>
    <row r="581" spans="5:12" ht="15.75" customHeight="1" x14ac:dyDescent="0.2">
      <c r="E581" s="83"/>
      <c r="F581" s="83"/>
      <c r="G581" s="83"/>
      <c r="H581" s="83"/>
      <c r="I581" s="83"/>
      <c r="J581" s="83"/>
      <c r="L581" s="28"/>
    </row>
    <row r="582" spans="5:12" ht="15.75" customHeight="1" x14ac:dyDescent="0.2">
      <c r="E582" s="83"/>
      <c r="F582" s="83"/>
      <c r="G582" s="83"/>
      <c r="H582" s="83"/>
      <c r="I582" s="83"/>
      <c r="J582" s="83"/>
      <c r="L582" s="28"/>
    </row>
    <row r="583" spans="5:12" ht="15.75" customHeight="1" x14ac:dyDescent="0.2">
      <c r="E583" s="83"/>
      <c r="F583" s="83"/>
      <c r="G583" s="83"/>
      <c r="H583" s="83"/>
      <c r="I583" s="83"/>
      <c r="J583" s="83"/>
      <c r="L583" s="28"/>
    </row>
    <row r="584" spans="5:12" ht="15.75" customHeight="1" x14ac:dyDescent="0.2">
      <c r="E584" s="83"/>
      <c r="F584" s="83"/>
      <c r="G584" s="83"/>
      <c r="H584" s="83"/>
      <c r="I584" s="83"/>
      <c r="J584" s="83"/>
      <c r="L584" s="28"/>
    </row>
    <row r="585" spans="5:12" ht="15.75" customHeight="1" x14ac:dyDescent="0.2">
      <c r="E585" s="83"/>
      <c r="F585" s="83"/>
      <c r="G585" s="83"/>
      <c r="H585" s="83"/>
      <c r="I585" s="83"/>
      <c r="J585" s="83"/>
      <c r="L585" s="28"/>
    </row>
    <row r="586" spans="5:12" ht="15.75" customHeight="1" x14ac:dyDescent="0.2">
      <c r="E586" s="83"/>
      <c r="F586" s="83"/>
      <c r="G586" s="83"/>
      <c r="H586" s="83"/>
      <c r="I586" s="83"/>
      <c r="J586" s="83"/>
      <c r="L586" s="28"/>
    </row>
    <row r="587" spans="5:12" ht="15.75" customHeight="1" x14ac:dyDescent="0.2">
      <c r="E587" s="83"/>
      <c r="F587" s="83"/>
      <c r="G587" s="83"/>
      <c r="H587" s="83"/>
      <c r="I587" s="83"/>
      <c r="J587" s="83"/>
      <c r="L587" s="28"/>
    </row>
    <row r="588" spans="5:12" ht="15.75" customHeight="1" x14ac:dyDescent="0.2">
      <c r="E588" s="83"/>
      <c r="F588" s="83"/>
      <c r="G588" s="83"/>
      <c r="H588" s="83"/>
      <c r="I588" s="83"/>
      <c r="J588" s="83"/>
      <c r="L588" s="28"/>
    </row>
    <row r="589" spans="5:12" ht="15.75" customHeight="1" x14ac:dyDescent="0.2">
      <c r="E589" s="83"/>
      <c r="F589" s="83"/>
      <c r="G589" s="83"/>
      <c r="H589" s="83"/>
      <c r="I589" s="83"/>
      <c r="J589" s="83"/>
      <c r="L589" s="28"/>
    </row>
    <row r="590" spans="5:12" ht="15.75" customHeight="1" x14ac:dyDescent="0.2">
      <c r="E590" s="83"/>
      <c r="F590" s="83"/>
      <c r="G590" s="83"/>
      <c r="H590" s="83"/>
      <c r="I590" s="83"/>
      <c r="J590" s="83"/>
      <c r="L590" s="28"/>
    </row>
    <row r="591" spans="5:12" ht="15.75" customHeight="1" x14ac:dyDescent="0.2">
      <c r="E591" s="83"/>
      <c r="F591" s="83"/>
      <c r="G591" s="83"/>
      <c r="H591" s="83"/>
      <c r="I591" s="83"/>
      <c r="J591" s="83"/>
      <c r="L591" s="28"/>
    </row>
    <row r="592" spans="5:12" ht="15.75" customHeight="1" x14ac:dyDescent="0.2">
      <c r="E592" s="83"/>
      <c r="F592" s="83"/>
      <c r="G592" s="83"/>
      <c r="H592" s="83"/>
      <c r="I592" s="83"/>
      <c r="J592" s="83"/>
      <c r="L592" s="28"/>
    </row>
    <row r="593" spans="5:12" ht="15.75" customHeight="1" x14ac:dyDescent="0.2">
      <c r="E593" s="83"/>
      <c r="F593" s="83"/>
      <c r="G593" s="83"/>
      <c r="H593" s="83"/>
      <c r="I593" s="83"/>
      <c r="J593" s="83"/>
      <c r="L593" s="28"/>
    </row>
    <row r="594" spans="5:12" ht="15.75" customHeight="1" x14ac:dyDescent="0.2">
      <c r="E594" s="83"/>
      <c r="F594" s="83"/>
      <c r="G594" s="83"/>
      <c r="H594" s="83"/>
      <c r="I594" s="83"/>
      <c r="J594" s="83"/>
      <c r="L594" s="28"/>
    </row>
    <row r="595" spans="5:12" ht="15.75" customHeight="1" x14ac:dyDescent="0.2">
      <c r="E595" s="83"/>
      <c r="F595" s="83"/>
      <c r="G595" s="83"/>
      <c r="H595" s="83"/>
      <c r="I595" s="83"/>
      <c r="J595" s="83"/>
      <c r="L595" s="28"/>
    </row>
    <row r="596" spans="5:12" ht="15.75" customHeight="1" x14ac:dyDescent="0.2">
      <c r="E596" s="83"/>
      <c r="F596" s="83"/>
      <c r="G596" s="83"/>
      <c r="H596" s="83"/>
      <c r="I596" s="83"/>
      <c r="J596" s="83"/>
      <c r="L596" s="28"/>
    </row>
    <row r="597" spans="5:12" ht="15.75" customHeight="1" x14ac:dyDescent="0.2">
      <c r="E597" s="83"/>
      <c r="F597" s="83"/>
      <c r="G597" s="83"/>
      <c r="H597" s="83"/>
      <c r="I597" s="83"/>
      <c r="J597" s="83"/>
      <c r="L597" s="28"/>
    </row>
    <row r="598" spans="5:12" ht="15.75" customHeight="1" x14ac:dyDescent="0.2">
      <c r="E598" s="83"/>
      <c r="F598" s="83"/>
      <c r="G598" s="83"/>
      <c r="H598" s="83"/>
      <c r="I598" s="83"/>
      <c r="J598" s="83"/>
      <c r="L598" s="28"/>
    </row>
    <row r="599" spans="5:12" ht="15.75" customHeight="1" x14ac:dyDescent="0.2">
      <c r="E599" s="83"/>
      <c r="F599" s="83"/>
      <c r="G599" s="83"/>
      <c r="H599" s="83"/>
      <c r="I599" s="83"/>
      <c r="J599" s="83"/>
      <c r="L599" s="28"/>
    </row>
    <row r="600" spans="5:12" ht="15.75" customHeight="1" x14ac:dyDescent="0.2">
      <c r="E600" s="83"/>
      <c r="F600" s="83"/>
      <c r="G600" s="83"/>
      <c r="H600" s="83"/>
      <c r="I600" s="83"/>
      <c r="J600" s="83"/>
      <c r="L600" s="28"/>
    </row>
    <row r="601" spans="5:12" ht="15.75" customHeight="1" x14ac:dyDescent="0.2">
      <c r="E601" s="83"/>
      <c r="F601" s="83"/>
      <c r="G601" s="83"/>
      <c r="H601" s="83"/>
      <c r="I601" s="83"/>
      <c r="J601" s="83"/>
      <c r="L601" s="28"/>
    </row>
    <row r="602" spans="5:12" ht="15.75" customHeight="1" x14ac:dyDescent="0.2">
      <c r="E602" s="83"/>
      <c r="F602" s="83"/>
      <c r="G602" s="83"/>
      <c r="H602" s="83"/>
      <c r="I602" s="83"/>
      <c r="J602" s="83"/>
      <c r="L602" s="28"/>
    </row>
    <row r="603" spans="5:12" ht="15.75" customHeight="1" x14ac:dyDescent="0.2">
      <c r="E603" s="83"/>
      <c r="F603" s="83"/>
      <c r="G603" s="83"/>
      <c r="H603" s="83"/>
      <c r="I603" s="83"/>
      <c r="J603" s="83"/>
      <c r="L603" s="28"/>
    </row>
    <row r="604" spans="5:12" ht="15.75" customHeight="1" x14ac:dyDescent="0.2">
      <c r="E604" s="83"/>
      <c r="F604" s="83"/>
      <c r="G604" s="83"/>
      <c r="H604" s="83"/>
      <c r="I604" s="83"/>
      <c r="J604" s="83"/>
      <c r="L604" s="28"/>
    </row>
    <row r="605" spans="5:12" ht="15.75" customHeight="1" x14ac:dyDescent="0.2">
      <c r="E605" s="83"/>
      <c r="F605" s="83"/>
      <c r="G605" s="83"/>
      <c r="H605" s="83"/>
      <c r="I605" s="83"/>
      <c r="J605" s="83"/>
      <c r="L605" s="28"/>
    </row>
    <row r="606" spans="5:12" ht="15.75" customHeight="1" x14ac:dyDescent="0.2">
      <c r="E606" s="83"/>
      <c r="F606" s="83"/>
      <c r="G606" s="83"/>
      <c r="H606" s="83"/>
      <c r="I606" s="83"/>
      <c r="J606" s="83"/>
      <c r="L606" s="28"/>
    </row>
    <row r="607" spans="5:12" ht="15.75" customHeight="1" x14ac:dyDescent="0.2">
      <c r="E607" s="83"/>
      <c r="F607" s="83"/>
      <c r="G607" s="83"/>
      <c r="H607" s="83"/>
      <c r="I607" s="83"/>
      <c r="J607" s="83"/>
      <c r="L607" s="28"/>
    </row>
    <row r="608" spans="5:12" ht="15.75" customHeight="1" x14ac:dyDescent="0.2">
      <c r="E608" s="83"/>
      <c r="F608" s="83"/>
      <c r="G608" s="83"/>
      <c r="H608" s="83"/>
      <c r="I608" s="83"/>
      <c r="J608" s="83"/>
      <c r="L608" s="28"/>
    </row>
    <row r="609" spans="5:12" ht="15.75" customHeight="1" x14ac:dyDescent="0.2">
      <c r="E609" s="83"/>
      <c r="F609" s="83"/>
      <c r="G609" s="83"/>
      <c r="H609" s="83"/>
      <c r="I609" s="83"/>
      <c r="J609" s="83"/>
      <c r="L609" s="28"/>
    </row>
    <row r="610" spans="5:12" ht="15.75" customHeight="1" x14ac:dyDescent="0.2">
      <c r="E610" s="83"/>
      <c r="F610" s="83"/>
      <c r="G610" s="83"/>
      <c r="H610" s="83"/>
      <c r="I610" s="83"/>
      <c r="J610" s="83"/>
      <c r="L610" s="28"/>
    </row>
    <row r="611" spans="5:12" ht="15.75" customHeight="1" x14ac:dyDescent="0.2">
      <c r="E611" s="83"/>
      <c r="F611" s="83"/>
      <c r="G611" s="83"/>
      <c r="H611" s="83"/>
      <c r="I611" s="83"/>
      <c r="J611" s="83"/>
      <c r="L611" s="28"/>
    </row>
    <row r="612" spans="5:12" ht="15.75" customHeight="1" x14ac:dyDescent="0.2">
      <c r="E612" s="83"/>
      <c r="F612" s="83"/>
      <c r="G612" s="83"/>
      <c r="H612" s="83"/>
      <c r="I612" s="83"/>
      <c r="J612" s="83"/>
      <c r="L612" s="28"/>
    </row>
    <row r="613" spans="5:12" ht="15.75" customHeight="1" x14ac:dyDescent="0.2">
      <c r="E613" s="83"/>
      <c r="F613" s="83"/>
      <c r="G613" s="83"/>
      <c r="H613" s="83"/>
      <c r="I613" s="83"/>
      <c r="J613" s="83"/>
      <c r="L613" s="28"/>
    </row>
    <row r="614" spans="5:12" ht="15.75" customHeight="1" x14ac:dyDescent="0.2">
      <c r="E614" s="83"/>
      <c r="F614" s="83"/>
      <c r="G614" s="83"/>
      <c r="H614" s="83"/>
      <c r="I614" s="83"/>
      <c r="J614" s="83"/>
      <c r="L614" s="28"/>
    </row>
    <row r="615" spans="5:12" ht="15.75" customHeight="1" x14ac:dyDescent="0.2">
      <c r="E615" s="83"/>
      <c r="F615" s="83"/>
      <c r="G615" s="83"/>
      <c r="H615" s="83"/>
      <c r="I615" s="83"/>
      <c r="J615" s="83"/>
      <c r="L615" s="28"/>
    </row>
    <row r="616" spans="5:12" ht="15.75" customHeight="1" x14ac:dyDescent="0.2">
      <c r="E616" s="83"/>
      <c r="F616" s="83"/>
      <c r="G616" s="83"/>
      <c r="H616" s="83"/>
      <c r="I616" s="83"/>
      <c r="J616" s="83"/>
      <c r="L616" s="28"/>
    </row>
    <row r="617" spans="5:12" ht="15.75" customHeight="1" x14ac:dyDescent="0.2">
      <c r="E617" s="83"/>
      <c r="F617" s="83"/>
      <c r="G617" s="83"/>
      <c r="H617" s="83"/>
      <c r="I617" s="83"/>
      <c r="J617" s="83"/>
      <c r="L617" s="28"/>
    </row>
    <row r="618" spans="5:12" ht="15.75" customHeight="1" x14ac:dyDescent="0.2">
      <c r="E618" s="83"/>
      <c r="F618" s="83"/>
      <c r="G618" s="83"/>
      <c r="H618" s="83"/>
      <c r="I618" s="83"/>
      <c r="J618" s="83"/>
      <c r="L618" s="28"/>
    </row>
    <row r="619" spans="5:12" ht="15.75" customHeight="1" x14ac:dyDescent="0.2">
      <c r="E619" s="83"/>
      <c r="F619" s="83"/>
      <c r="G619" s="83"/>
      <c r="H619" s="83"/>
      <c r="I619" s="83"/>
      <c r="J619" s="83"/>
      <c r="L619" s="28"/>
    </row>
    <row r="620" spans="5:12" ht="15.75" customHeight="1" x14ac:dyDescent="0.2">
      <c r="E620" s="83"/>
      <c r="F620" s="83"/>
      <c r="G620" s="83"/>
      <c r="H620" s="83"/>
      <c r="I620" s="83"/>
      <c r="J620" s="83"/>
      <c r="L620" s="28"/>
    </row>
    <row r="621" spans="5:12" ht="15.75" customHeight="1" x14ac:dyDescent="0.2">
      <c r="E621" s="83"/>
      <c r="F621" s="83"/>
      <c r="G621" s="83"/>
      <c r="H621" s="83"/>
      <c r="I621" s="83"/>
      <c r="J621" s="83"/>
      <c r="L621" s="28"/>
    </row>
    <row r="622" spans="5:12" ht="15.75" customHeight="1" x14ac:dyDescent="0.2">
      <c r="E622" s="83"/>
      <c r="F622" s="83"/>
      <c r="G622" s="83"/>
      <c r="H622" s="83"/>
      <c r="I622" s="83"/>
      <c r="J622" s="83"/>
      <c r="L622" s="28"/>
    </row>
    <row r="623" spans="5:12" ht="15.75" customHeight="1" x14ac:dyDescent="0.2">
      <c r="E623" s="83"/>
      <c r="F623" s="83"/>
      <c r="G623" s="83"/>
      <c r="H623" s="83"/>
      <c r="I623" s="83"/>
      <c r="J623" s="83"/>
      <c r="L623" s="28"/>
    </row>
    <row r="624" spans="5:12" ht="15.75" customHeight="1" x14ac:dyDescent="0.2">
      <c r="E624" s="83"/>
      <c r="F624" s="83"/>
      <c r="G624" s="83"/>
      <c r="H624" s="83"/>
      <c r="I624" s="83"/>
      <c r="J624" s="83"/>
      <c r="L624" s="28"/>
    </row>
    <row r="625" spans="5:12" ht="15.75" customHeight="1" x14ac:dyDescent="0.2">
      <c r="E625" s="83"/>
      <c r="F625" s="83"/>
      <c r="G625" s="83"/>
      <c r="H625" s="83"/>
      <c r="I625" s="83"/>
      <c r="J625" s="83"/>
      <c r="L625" s="28"/>
    </row>
    <row r="626" spans="5:12" ht="15.75" customHeight="1" x14ac:dyDescent="0.2">
      <c r="E626" s="83"/>
      <c r="F626" s="83"/>
      <c r="G626" s="83"/>
      <c r="H626" s="83"/>
      <c r="I626" s="83"/>
      <c r="J626" s="83"/>
      <c r="L626" s="28"/>
    </row>
    <row r="627" spans="5:12" ht="15.75" customHeight="1" x14ac:dyDescent="0.2">
      <c r="E627" s="83"/>
      <c r="F627" s="83"/>
      <c r="G627" s="83"/>
      <c r="H627" s="83"/>
      <c r="I627" s="83"/>
      <c r="J627" s="83"/>
      <c r="L627" s="28"/>
    </row>
    <row r="628" spans="5:12" ht="15.75" customHeight="1" x14ac:dyDescent="0.2">
      <c r="E628" s="83"/>
      <c r="F628" s="83"/>
      <c r="G628" s="83"/>
      <c r="H628" s="83"/>
      <c r="I628" s="83"/>
      <c r="J628" s="83"/>
      <c r="L628" s="28"/>
    </row>
    <row r="629" spans="5:12" ht="15.75" customHeight="1" x14ac:dyDescent="0.2">
      <c r="E629" s="83"/>
      <c r="F629" s="83"/>
      <c r="G629" s="83"/>
      <c r="H629" s="83"/>
      <c r="I629" s="83"/>
      <c r="J629" s="83"/>
      <c r="L629" s="28"/>
    </row>
    <row r="630" spans="5:12" ht="15.75" customHeight="1" x14ac:dyDescent="0.2">
      <c r="E630" s="83"/>
      <c r="F630" s="83"/>
      <c r="G630" s="83"/>
      <c r="H630" s="83"/>
      <c r="I630" s="83"/>
      <c r="J630" s="83"/>
      <c r="L630" s="28"/>
    </row>
    <row r="631" spans="5:12" ht="15.75" customHeight="1" x14ac:dyDescent="0.2">
      <c r="E631" s="83"/>
      <c r="F631" s="83"/>
      <c r="G631" s="83"/>
      <c r="H631" s="83"/>
      <c r="I631" s="83"/>
      <c r="J631" s="83"/>
      <c r="L631" s="28"/>
    </row>
    <row r="632" spans="5:12" ht="15.75" customHeight="1" x14ac:dyDescent="0.2">
      <c r="E632" s="83"/>
      <c r="F632" s="83"/>
      <c r="G632" s="83"/>
      <c r="H632" s="83"/>
      <c r="I632" s="83"/>
      <c r="J632" s="83"/>
      <c r="L632" s="28"/>
    </row>
    <row r="633" spans="5:12" ht="15.75" customHeight="1" x14ac:dyDescent="0.2">
      <c r="E633" s="83"/>
      <c r="F633" s="83"/>
      <c r="G633" s="83"/>
      <c r="H633" s="83"/>
      <c r="I633" s="83"/>
      <c r="J633" s="83"/>
      <c r="L633" s="28"/>
    </row>
    <row r="634" spans="5:12" ht="15.75" customHeight="1" x14ac:dyDescent="0.2">
      <c r="E634" s="83"/>
      <c r="F634" s="83"/>
      <c r="G634" s="83"/>
      <c r="H634" s="83"/>
      <c r="I634" s="83"/>
      <c r="J634" s="83"/>
      <c r="L634" s="28"/>
    </row>
    <row r="635" spans="5:12" ht="15.75" customHeight="1" x14ac:dyDescent="0.2">
      <c r="E635" s="83"/>
      <c r="F635" s="83"/>
      <c r="G635" s="83"/>
      <c r="H635" s="83"/>
      <c r="I635" s="83"/>
      <c r="J635" s="83"/>
      <c r="L635" s="28"/>
    </row>
    <row r="636" spans="5:12" ht="15.75" customHeight="1" x14ac:dyDescent="0.2">
      <c r="E636" s="83"/>
      <c r="F636" s="83"/>
      <c r="G636" s="83"/>
      <c r="H636" s="83"/>
      <c r="I636" s="83"/>
      <c r="J636" s="83"/>
      <c r="L636" s="28"/>
    </row>
    <row r="637" spans="5:12" ht="15.75" customHeight="1" x14ac:dyDescent="0.2">
      <c r="E637" s="83"/>
      <c r="F637" s="83"/>
      <c r="G637" s="83"/>
      <c r="H637" s="83"/>
      <c r="I637" s="83"/>
      <c r="J637" s="83"/>
      <c r="L637" s="28"/>
    </row>
    <row r="638" spans="5:12" ht="15.75" customHeight="1" x14ac:dyDescent="0.2">
      <c r="E638" s="83"/>
      <c r="F638" s="83"/>
      <c r="G638" s="83"/>
      <c r="H638" s="83"/>
      <c r="I638" s="83"/>
      <c r="J638" s="83"/>
      <c r="L638" s="28"/>
    </row>
    <row r="639" spans="5:12" ht="15.75" customHeight="1" x14ac:dyDescent="0.2">
      <c r="E639" s="83"/>
      <c r="F639" s="83"/>
      <c r="G639" s="83"/>
      <c r="H639" s="83"/>
      <c r="I639" s="83"/>
      <c r="J639" s="83"/>
      <c r="L639" s="28"/>
    </row>
    <row r="640" spans="5:12" ht="15.75" customHeight="1" x14ac:dyDescent="0.2">
      <c r="E640" s="83"/>
      <c r="F640" s="83"/>
      <c r="G640" s="83"/>
      <c r="H640" s="83"/>
      <c r="I640" s="83"/>
      <c r="J640" s="83"/>
      <c r="L640" s="28"/>
    </row>
    <row r="641" spans="5:12" ht="15.75" customHeight="1" x14ac:dyDescent="0.2">
      <c r="E641" s="83"/>
      <c r="F641" s="83"/>
      <c r="G641" s="83"/>
      <c r="H641" s="83"/>
      <c r="I641" s="83"/>
      <c r="J641" s="83"/>
      <c r="L641" s="28"/>
    </row>
    <row r="642" spans="5:12" ht="15.75" customHeight="1" x14ac:dyDescent="0.2">
      <c r="E642" s="83"/>
      <c r="F642" s="83"/>
      <c r="G642" s="83"/>
      <c r="H642" s="83"/>
      <c r="I642" s="83"/>
      <c r="J642" s="83"/>
      <c r="L642" s="28"/>
    </row>
    <row r="643" spans="5:12" ht="15.75" customHeight="1" x14ac:dyDescent="0.2">
      <c r="E643" s="83"/>
      <c r="F643" s="83"/>
      <c r="G643" s="83"/>
      <c r="H643" s="83"/>
      <c r="I643" s="83"/>
      <c r="J643" s="83"/>
      <c r="L643" s="28"/>
    </row>
    <row r="644" spans="5:12" ht="15.75" customHeight="1" x14ac:dyDescent="0.2">
      <c r="E644" s="83"/>
      <c r="F644" s="83"/>
      <c r="G644" s="83"/>
      <c r="H644" s="83"/>
      <c r="I644" s="83"/>
      <c r="J644" s="83"/>
      <c r="L644" s="28"/>
    </row>
    <row r="645" spans="5:12" ht="15.75" customHeight="1" x14ac:dyDescent="0.2">
      <c r="E645" s="83"/>
      <c r="F645" s="83"/>
      <c r="G645" s="83"/>
      <c r="H645" s="83"/>
      <c r="I645" s="83"/>
      <c r="J645" s="83"/>
      <c r="L645" s="28"/>
    </row>
    <row r="646" spans="5:12" ht="15.75" customHeight="1" x14ac:dyDescent="0.2">
      <c r="E646" s="83"/>
      <c r="F646" s="83"/>
      <c r="G646" s="83"/>
      <c r="H646" s="83"/>
      <c r="I646" s="83"/>
      <c r="J646" s="83"/>
      <c r="L646" s="28"/>
    </row>
    <row r="647" spans="5:12" ht="15.75" customHeight="1" x14ac:dyDescent="0.2">
      <c r="E647" s="83"/>
      <c r="F647" s="83"/>
      <c r="G647" s="83"/>
      <c r="H647" s="83"/>
      <c r="I647" s="83"/>
      <c r="J647" s="83"/>
      <c r="L647" s="28"/>
    </row>
    <row r="648" spans="5:12" ht="15.75" customHeight="1" x14ac:dyDescent="0.2">
      <c r="E648" s="83"/>
      <c r="F648" s="83"/>
      <c r="G648" s="83"/>
      <c r="H648" s="83"/>
      <c r="I648" s="83"/>
      <c r="J648" s="83"/>
      <c r="L648" s="28"/>
    </row>
    <row r="649" spans="5:12" ht="15.75" customHeight="1" x14ac:dyDescent="0.2">
      <c r="E649" s="83"/>
      <c r="F649" s="83"/>
      <c r="G649" s="83"/>
      <c r="H649" s="83"/>
      <c r="I649" s="83"/>
      <c r="J649" s="83"/>
      <c r="L649" s="28"/>
    </row>
    <row r="650" spans="5:12" ht="15.75" customHeight="1" x14ac:dyDescent="0.2">
      <c r="E650" s="83"/>
      <c r="F650" s="83"/>
      <c r="G650" s="83"/>
      <c r="H650" s="83"/>
      <c r="I650" s="83"/>
      <c r="J650" s="83"/>
      <c r="L650" s="28"/>
    </row>
    <row r="651" spans="5:12" ht="15.75" customHeight="1" x14ac:dyDescent="0.2">
      <c r="E651" s="83"/>
      <c r="F651" s="83"/>
      <c r="G651" s="83"/>
      <c r="H651" s="83"/>
      <c r="I651" s="83"/>
      <c r="J651" s="83"/>
      <c r="L651" s="28"/>
    </row>
    <row r="652" spans="5:12" ht="15.75" customHeight="1" x14ac:dyDescent="0.2">
      <c r="E652" s="83"/>
      <c r="F652" s="83"/>
      <c r="G652" s="83"/>
      <c r="H652" s="83"/>
      <c r="I652" s="83"/>
      <c r="J652" s="83"/>
      <c r="L652" s="28"/>
    </row>
    <row r="653" spans="5:12" ht="15.75" customHeight="1" x14ac:dyDescent="0.2">
      <c r="E653" s="83"/>
      <c r="F653" s="83"/>
      <c r="G653" s="83"/>
      <c r="H653" s="83"/>
      <c r="I653" s="83"/>
      <c r="J653" s="83"/>
      <c r="L653" s="28"/>
    </row>
    <row r="654" spans="5:12" ht="15.75" customHeight="1" x14ac:dyDescent="0.2">
      <c r="E654" s="83"/>
      <c r="F654" s="83"/>
      <c r="G654" s="83"/>
      <c r="H654" s="83"/>
      <c r="I654" s="83"/>
      <c r="J654" s="83"/>
      <c r="L654" s="28"/>
    </row>
    <row r="655" spans="5:12" ht="15.75" customHeight="1" x14ac:dyDescent="0.2">
      <c r="E655" s="83"/>
      <c r="F655" s="83"/>
      <c r="G655" s="83"/>
      <c r="H655" s="83"/>
      <c r="I655" s="83"/>
      <c r="J655" s="83"/>
      <c r="L655" s="28"/>
    </row>
    <row r="656" spans="5:12" ht="15.75" customHeight="1" x14ac:dyDescent="0.2">
      <c r="E656" s="83"/>
      <c r="F656" s="83"/>
      <c r="G656" s="83"/>
      <c r="H656" s="83"/>
      <c r="I656" s="83"/>
      <c r="J656" s="83"/>
      <c r="L656" s="28"/>
    </row>
    <row r="657" spans="5:12" ht="15.75" customHeight="1" x14ac:dyDescent="0.2">
      <c r="E657" s="83"/>
      <c r="F657" s="83"/>
      <c r="G657" s="83"/>
      <c r="H657" s="83"/>
      <c r="I657" s="83"/>
      <c r="J657" s="83"/>
      <c r="L657" s="28"/>
    </row>
    <row r="658" spans="5:12" ht="15.75" customHeight="1" x14ac:dyDescent="0.2">
      <c r="E658" s="83"/>
      <c r="F658" s="83"/>
      <c r="G658" s="83"/>
      <c r="H658" s="83"/>
      <c r="I658" s="83"/>
      <c r="J658" s="83"/>
      <c r="L658" s="28"/>
    </row>
    <row r="659" spans="5:12" ht="15.75" customHeight="1" x14ac:dyDescent="0.2">
      <c r="E659" s="83"/>
      <c r="F659" s="83"/>
      <c r="G659" s="83"/>
      <c r="H659" s="83"/>
      <c r="I659" s="83"/>
      <c r="J659" s="83"/>
      <c r="L659" s="28"/>
    </row>
    <row r="660" spans="5:12" ht="15.75" customHeight="1" x14ac:dyDescent="0.2">
      <c r="E660" s="83"/>
      <c r="F660" s="83"/>
      <c r="G660" s="83"/>
      <c r="H660" s="83"/>
      <c r="I660" s="83"/>
      <c r="J660" s="83"/>
      <c r="L660" s="28"/>
    </row>
    <row r="661" spans="5:12" ht="15.75" customHeight="1" x14ac:dyDescent="0.2">
      <c r="E661" s="83"/>
      <c r="F661" s="83"/>
      <c r="G661" s="83"/>
      <c r="H661" s="83"/>
      <c r="I661" s="83"/>
      <c r="J661" s="83"/>
      <c r="L661" s="28"/>
    </row>
    <row r="662" spans="5:12" ht="15.75" customHeight="1" x14ac:dyDescent="0.2">
      <c r="E662" s="83"/>
      <c r="F662" s="83"/>
      <c r="G662" s="83"/>
      <c r="H662" s="83"/>
      <c r="I662" s="83"/>
      <c r="J662" s="83"/>
      <c r="L662" s="28"/>
    </row>
    <row r="663" spans="5:12" ht="15.75" customHeight="1" x14ac:dyDescent="0.2">
      <c r="E663" s="83"/>
      <c r="F663" s="83"/>
      <c r="G663" s="83"/>
      <c r="H663" s="83"/>
      <c r="I663" s="83"/>
      <c r="J663" s="83"/>
      <c r="L663" s="28"/>
    </row>
    <row r="664" spans="5:12" ht="15.75" customHeight="1" x14ac:dyDescent="0.2">
      <c r="E664" s="83"/>
      <c r="F664" s="83"/>
      <c r="G664" s="83"/>
      <c r="H664" s="83"/>
      <c r="I664" s="83"/>
      <c r="J664" s="83"/>
      <c r="L664" s="28"/>
    </row>
    <row r="665" spans="5:12" ht="15.75" customHeight="1" x14ac:dyDescent="0.2">
      <c r="E665" s="83"/>
      <c r="F665" s="83"/>
      <c r="G665" s="83"/>
      <c r="H665" s="83"/>
      <c r="I665" s="83"/>
      <c r="J665" s="83"/>
      <c r="L665" s="28"/>
    </row>
    <row r="666" spans="5:12" ht="15.75" customHeight="1" x14ac:dyDescent="0.2">
      <c r="E666" s="83"/>
      <c r="F666" s="83"/>
      <c r="G666" s="83"/>
      <c r="H666" s="83"/>
      <c r="I666" s="83"/>
      <c r="J666" s="83"/>
      <c r="L666" s="28"/>
    </row>
    <row r="667" spans="5:12" ht="15.75" customHeight="1" x14ac:dyDescent="0.2">
      <c r="E667" s="83"/>
      <c r="F667" s="83"/>
      <c r="G667" s="83"/>
      <c r="H667" s="83"/>
      <c r="I667" s="83"/>
      <c r="J667" s="83"/>
      <c r="L667" s="28"/>
    </row>
    <row r="668" spans="5:12" ht="15.75" customHeight="1" x14ac:dyDescent="0.2">
      <c r="E668" s="83"/>
      <c r="F668" s="83"/>
      <c r="G668" s="83"/>
      <c r="H668" s="83"/>
      <c r="I668" s="83"/>
      <c r="J668" s="83"/>
      <c r="L668" s="28"/>
    </row>
    <row r="669" spans="5:12" ht="15.75" customHeight="1" x14ac:dyDescent="0.2">
      <c r="E669" s="83"/>
      <c r="F669" s="83"/>
      <c r="G669" s="83"/>
      <c r="H669" s="83"/>
      <c r="I669" s="83"/>
      <c r="J669" s="83"/>
      <c r="L669" s="28"/>
    </row>
    <row r="670" spans="5:12" ht="15.75" customHeight="1" x14ac:dyDescent="0.2">
      <c r="E670" s="83"/>
      <c r="F670" s="83"/>
      <c r="G670" s="83"/>
      <c r="H670" s="83"/>
      <c r="I670" s="83"/>
      <c r="J670" s="83"/>
      <c r="L670" s="28"/>
    </row>
    <row r="671" spans="5:12" ht="15.75" customHeight="1" x14ac:dyDescent="0.2">
      <c r="E671" s="83"/>
      <c r="F671" s="83"/>
      <c r="G671" s="83"/>
      <c r="H671" s="83"/>
      <c r="I671" s="83"/>
      <c r="J671" s="83"/>
      <c r="L671" s="28"/>
    </row>
    <row r="672" spans="5:12" ht="15.75" customHeight="1" x14ac:dyDescent="0.2">
      <c r="E672" s="83"/>
      <c r="F672" s="83"/>
      <c r="G672" s="83"/>
      <c r="H672" s="83"/>
      <c r="I672" s="83"/>
      <c r="J672" s="83"/>
      <c r="L672" s="28"/>
    </row>
    <row r="673" spans="5:12" ht="15.75" customHeight="1" x14ac:dyDescent="0.2">
      <c r="E673" s="83"/>
      <c r="F673" s="83"/>
      <c r="G673" s="83"/>
      <c r="H673" s="83"/>
      <c r="I673" s="83"/>
      <c r="J673" s="83"/>
      <c r="L673" s="28"/>
    </row>
    <row r="674" spans="5:12" ht="15.75" customHeight="1" x14ac:dyDescent="0.2">
      <c r="E674" s="83"/>
      <c r="F674" s="83"/>
      <c r="G674" s="83"/>
      <c r="H674" s="83"/>
      <c r="I674" s="83"/>
      <c r="J674" s="83"/>
      <c r="L674" s="28"/>
    </row>
    <row r="675" spans="5:12" ht="15.75" customHeight="1" x14ac:dyDescent="0.2">
      <c r="E675" s="83"/>
      <c r="F675" s="83"/>
      <c r="G675" s="83"/>
      <c r="H675" s="83"/>
      <c r="I675" s="83"/>
      <c r="J675" s="83"/>
      <c r="L675" s="28"/>
    </row>
    <row r="676" spans="5:12" ht="15.75" customHeight="1" x14ac:dyDescent="0.2">
      <c r="E676" s="83"/>
      <c r="F676" s="83"/>
      <c r="G676" s="83"/>
      <c r="H676" s="83"/>
      <c r="I676" s="83"/>
      <c r="J676" s="83"/>
      <c r="L676" s="28"/>
    </row>
    <row r="677" spans="5:12" ht="15.75" customHeight="1" x14ac:dyDescent="0.2">
      <c r="E677" s="83"/>
      <c r="F677" s="83"/>
      <c r="G677" s="83"/>
      <c r="H677" s="83"/>
      <c r="I677" s="83"/>
      <c r="J677" s="83"/>
      <c r="L677" s="28"/>
    </row>
    <row r="678" spans="5:12" ht="15.75" customHeight="1" x14ac:dyDescent="0.2">
      <c r="E678" s="83"/>
      <c r="F678" s="83"/>
      <c r="G678" s="83"/>
      <c r="H678" s="83"/>
      <c r="I678" s="83"/>
      <c r="J678" s="83"/>
      <c r="L678" s="28"/>
    </row>
    <row r="679" spans="5:12" ht="15.75" customHeight="1" x14ac:dyDescent="0.2">
      <c r="E679" s="83"/>
      <c r="F679" s="83"/>
      <c r="G679" s="83"/>
      <c r="H679" s="83"/>
      <c r="I679" s="83"/>
      <c r="J679" s="83"/>
      <c r="L679" s="28"/>
    </row>
    <row r="680" spans="5:12" ht="15.75" customHeight="1" x14ac:dyDescent="0.2">
      <c r="E680" s="83"/>
      <c r="F680" s="83"/>
      <c r="G680" s="83"/>
      <c r="H680" s="83"/>
      <c r="I680" s="83"/>
      <c r="J680" s="83"/>
      <c r="L680" s="28"/>
    </row>
    <row r="681" spans="5:12" ht="15.75" customHeight="1" x14ac:dyDescent="0.2">
      <c r="E681" s="83"/>
      <c r="F681" s="83"/>
      <c r="G681" s="83"/>
      <c r="H681" s="83"/>
      <c r="I681" s="83"/>
      <c r="J681" s="83"/>
      <c r="L681" s="28"/>
    </row>
    <row r="682" spans="5:12" ht="15.75" customHeight="1" x14ac:dyDescent="0.2">
      <c r="E682" s="83"/>
      <c r="F682" s="83"/>
      <c r="G682" s="83"/>
      <c r="H682" s="83"/>
      <c r="I682" s="83"/>
      <c r="J682" s="83"/>
      <c r="L682" s="28"/>
    </row>
    <row r="683" spans="5:12" ht="15.75" customHeight="1" x14ac:dyDescent="0.2">
      <c r="E683" s="83"/>
      <c r="F683" s="83"/>
      <c r="G683" s="83"/>
      <c r="H683" s="83"/>
      <c r="I683" s="83"/>
      <c r="J683" s="83"/>
      <c r="L683" s="28"/>
    </row>
    <row r="684" spans="5:12" ht="15.75" customHeight="1" x14ac:dyDescent="0.2">
      <c r="E684" s="83"/>
      <c r="F684" s="83"/>
      <c r="G684" s="83"/>
      <c r="H684" s="83"/>
      <c r="I684" s="83"/>
      <c r="J684" s="83"/>
      <c r="L684" s="28"/>
    </row>
    <row r="685" spans="5:12" ht="15.75" customHeight="1" x14ac:dyDescent="0.2">
      <c r="E685" s="83"/>
      <c r="F685" s="83"/>
      <c r="G685" s="83"/>
      <c r="H685" s="83"/>
      <c r="I685" s="83"/>
      <c r="J685" s="83"/>
      <c r="L685" s="28"/>
    </row>
    <row r="686" spans="5:12" ht="15.75" customHeight="1" x14ac:dyDescent="0.2">
      <c r="E686" s="83"/>
      <c r="F686" s="83"/>
      <c r="G686" s="83"/>
      <c r="H686" s="83"/>
      <c r="I686" s="83"/>
      <c r="J686" s="83"/>
      <c r="L686" s="28"/>
    </row>
    <row r="687" spans="5:12" ht="15.75" customHeight="1" x14ac:dyDescent="0.2">
      <c r="E687" s="83"/>
      <c r="F687" s="83"/>
      <c r="G687" s="83"/>
      <c r="H687" s="83"/>
      <c r="I687" s="83"/>
      <c r="J687" s="83"/>
      <c r="L687" s="28"/>
    </row>
    <row r="688" spans="5:12" ht="15.75" customHeight="1" x14ac:dyDescent="0.2">
      <c r="E688" s="83"/>
      <c r="F688" s="83"/>
      <c r="G688" s="83"/>
      <c r="H688" s="83"/>
      <c r="I688" s="83"/>
      <c r="J688" s="83"/>
      <c r="L688" s="28"/>
    </row>
    <row r="689" spans="5:12" ht="15.75" customHeight="1" x14ac:dyDescent="0.2">
      <c r="E689" s="83"/>
      <c r="F689" s="83"/>
      <c r="G689" s="83"/>
      <c r="H689" s="83"/>
      <c r="I689" s="83"/>
      <c r="J689" s="83"/>
      <c r="L689" s="28"/>
    </row>
    <row r="690" spans="5:12" ht="15.75" customHeight="1" x14ac:dyDescent="0.2">
      <c r="E690" s="83"/>
      <c r="F690" s="83"/>
      <c r="G690" s="83"/>
      <c r="H690" s="83"/>
      <c r="I690" s="83"/>
      <c r="J690" s="83"/>
      <c r="L690" s="28"/>
    </row>
    <row r="691" spans="5:12" ht="15.75" customHeight="1" x14ac:dyDescent="0.2">
      <c r="E691" s="83"/>
      <c r="F691" s="83"/>
      <c r="G691" s="83"/>
      <c r="H691" s="83"/>
      <c r="I691" s="83"/>
      <c r="J691" s="83"/>
      <c r="L691" s="28"/>
    </row>
    <row r="692" spans="5:12" ht="15.75" customHeight="1" x14ac:dyDescent="0.2">
      <c r="E692" s="83"/>
      <c r="F692" s="83"/>
      <c r="G692" s="83"/>
      <c r="H692" s="83"/>
      <c r="I692" s="83"/>
      <c r="J692" s="83"/>
      <c r="L692" s="28"/>
    </row>
    <row r="693" spans="5:12" ht="15.75" customHeight="1" x14ac:dyDescent="0.2">
      <c r="E693" s="83"/>
      <c r="F693" s="83"/>
      <c r="G693" s="83"/>
      <c r="H693" s="83"/>
      <c r="I693" s="83"/>
      <c r="J693" s="83"/>
      <c r="L693" s="28"/>
    </row>
    <row r="694" spans="5:12" ht="15.75" customHeight="1" x14ac:dyDescent="0.2">
      <c r="E694" s="83"/>
      <c r="F694" s="83"/>
      <c r="G694" s="83"/>
      <c r="H694" s="83"/>
      <c r="I694" s="83"/>
      <c r="J694" s="83"/>
      <c r="L694" s="28"/>
    </row>
    <row r="695" spans="5:12" ht="15.75" customHeight="1" x14ac:dyDescent="0.2">
      <c r="E695" s="83"/>
      <c r="F695" s="83"/>
      <c r="G695" s="83"/>
      <c r="H695" s="83"/>
      <c r="I695" s="83"/>
      <c r="J695" s="83"/>
      <c r="L695" s="28"/>
    </row>
    <row r="696" spans="5:12" ht="15.75" customHeight="1" x14ac:dyDescent="0.2">
      <c r="E696" s="83"/>
      <c r="F696" s="83"/>
      <c r="G696" s="83"/>
      <c r="H696" s="83"/>
      <c r="I696" s="83"/>
      <c r="J696" s="83"/>
      <c r="L696" s="28"/>
    </row>
    <row r="697" spans="5:12" ht="15.75" customHeight="1" x14ac:dyDescent="0.2">
      <c r="E697" s="83"/>
      <c r="F697" s="83"/>
      <c r="G697" s="83"/>
      <c r="H697" s="83"/>
      <c r="I697" s="83"/>
      <c r="J697" s="83"/>
      <c r="L697" s="28"/>
    </row>
    <row r="698" spans="5:12" ht="15.75" customHeight="1" x14ac:dyDescent="0.2">
      <c r="E698" s="83"/>
      <c r="F698" s="83"/>
      <c r="G698" s="83"/>
      <c r="H698" s="83"/>
      <c r="I698" s="83"/>
      <c r="J698" s="83"/>
      <c r="L698" s="28"/>
    </row>
    <row r="699" spans="5:12" ht="15.75" customHeight="1" x14ac:dyDescent="0.2">
      <c r="E699" s="83"/>
      <c r="F699" s="83"/>
      <c r="G699" s="83"/>
      <c r="H699" s="83"/>
      <c r="I699" s="83"/>
      <c r="J699" s="83"/>
      <c r="L699" s="28"/>
    </row>
    <row r="700" spans="5:12" ht="15.75" customHeight="1" x14ac:dyDescent="0.2">
      <c r="E700" s="83"/>
      <c r="F700" s="83"/>
      <c r="G700" s="83"/>
      <c r="H700" s="83"/>
      <c r="I700" s="83"/>
      <c r="J700" s="83"/>
      <c r="L700" s="28"/>
    </row>
    <row r="701" spans="5:12" ht="15.75" customHeight="1" x14ac:dyDescent="0.2">
      <c r="E701" s="83"/>
      <c r="F701" s="83"/>
      <c r="G701" s="83"/>
      <c r="H701" s="83"/>
      <c r="I701" s="83"/>
      <c r="J701" s="83"/>
      <c r="L701" s="28"/>
    </row>
    <row r="702" spans="5:12" ht="15.75" customHeight="1" x14ac:dyDescent="0.2">
      <c r="E702" s="83"/>
      <c r="F702" s="83"/>
      <c r="G702" s="83"/>
      <c r="H702" s="83"/>
      <c r="I702" s="83"/>
      <c r="J702" s="83"/>
      <c r="L702" s="28"/>
    </row>
    <row r="703" spans="5:12" ht="15.75" customHeight="1" x14ac:dyDescent="0.2">
      <c r="E703" s="83"/>
      <c r="F703" s="83"/>
      <c r="G703" s="83"/>
      <c r="H703" s="83"/>
      <c r="I703" s="83"/>
      <c r="J703" s="83"/>
      <c r="L703" s="28"/>
    </row>
    <row r="704" spans="5:12" ht="15.75" customHeight="1" x14ac:dyDescent="0.2">
      <c r="E704" s="83"/>
      <c r="F704" s="83"/>
      <c r="G704" s="83"/>
      <c r="H704" s="83"/>
      <c r="I704" s="83"/>
      <c r="J704" s="83"/>
      <c r="L704" s="28"/>
    </row>
    <row r="705" spans="5:12" ht="15.75" customHeight="1" x14ac:dyDescent="0.2">
      <c r="E705" s="83"/>
      <c r="F705" s="83"/>
      <c r="G705" s="83"/>
      <c r="H705" s="83"/>
      <c r="I705" s="83"/>
      <c r="J705" s="83"/>
      <c r="L705" s="28"/>
    </row>
    <row r="706" spans="5:12" ht="15.75" customHeight="1" x14ac:dyDescent="0.2">
      <c r="E706" s="83"/>
      <c r="F706" s="83"/>
      <c r="G706" s="83"/>
      <c r="H706" s="83"/>
      <c r="I706" s="83"/>
      <c r="J706" s="83"/>
      <c r="L706" s="28"/>
    </row>
    <row r="707" spans="5:12" ht="15.75" customHeight="1" x14ac:dyDescent="0.2">
      <c r="E707" s="83"/>
      <c r="F707" s="83"/>
      <c r="G707" s="83"/>
      <c r="H707" s="83"/>
      <c r="I707" s="83"/>
      <c r="J707" s="83"/>
      <c r="L707" s="28"/>
    </row>
    <row r="708" spans="5:12" ht="15.75" customHeight="1" x14ac:dyDescent="0.2">
      <c r="E708" s="83"/>
      <c r="F708" s="83"/>
      <c r="G708" s="83"/>
      <c r="H708" s="83"/>
      <c r="I708" s="83"/>
      <c r="J708" s="83"/>
      <c r="L708" s="28"/>
    </row>
    <row r="709" spans="5:12" ht="15.75" customHeight="1" x14ac:dyDescent="0.2">
      <c r="E709" s="83"/>
      <c r="F709" s="83"/>
      <c r="G709" s="83"/>
      <c r="H709" s="83"/>
      <c r="I709" s="83"/>
      <c r="J709" s="83"/>
      <c r="L709" s="28"/>
    </row>
    <row r="710" spans="5:12" ht="15.75" customHeight="1" x14ac:dyDescent="0.2">
      <c r="E710" s="83"/>
      <c r="F710" s="83"/>
      <c r="G710" s="83"/>
      <c r="H710" s="83"/>
      <c r="I710" s="83"/>
      <c r="J710" s="83"/>
      <c r="L710" s="28"/>
    </row>
    <row r="711" spans="5:12" ht="15.75" customHeight="1" x14ac:dyDescent="0.2">
      <c r="E711" s="83"/>
      <c r="F711" s="83"/>
      <c r="G711" s="83"/>
      <c r="H711" s="83"/>
      <c r="I711" s="83"/>
      <c r="J711" s="83"/>
      <c r="L711" s="28"/>
    </row>
    <row r="712" spans="5:12" ht="15.75" customHeight="1" x14ac:dyDescent="0.2">
      <c r="E712" s="83"/>
      <c r="F712" s="83"/>
      <c r="G712" s="83"/>
      <c r="H712" s="83"/>
      <c r="I712" s="83"/>
      <c r="J712" s="83"/>
      <c r="L712" s="28"/>
    </row>
    <row r="713" spans="5:12" ht="15.75" customHeight="1" x14ac:dyDescent="0.2">
      <c r="E713" s="83"/>
      <c r="F713" s="83"/>
      <c r="G713" s="83"/>
      <c r="H713" s="83"/>
      <c r="I713" s="83"/>
      <c r="J713" s="83"/>
      <c r="L713" s="28"/>
    </row>
    <row r="714" spans="5:12" ht="15.75" customHeight="1" x14ac:dyDescent="0.2">
      <c r="E714" s="83"/>
      <c r="F714" s="83"/>
      <c r="G714" s="83"/>
      <c r="H714" s="83"/>
      <c r="I714" s="83"/>
      <c r="J714" s="83"/>
      <c r="L714" s="28"/>
    </row>
    <row r="715" spans="5:12" ht="15.75" customHeight="1" x14ac:dyDescent="0.2">
      <c r="E715" s="83"/>
      <c r="F715" s="83"/>
      <c r="G715" s="83"/>
      <c r="H715" s="83"/>
      <c r="I715" s="83"/>
      <c r="J715" s="83"/>
      <c r="L715" s="28"/>
    </row>
    <row r="716" spans="5:12" ht="15.75" customHeight="1" x14ac:dyDescent="0.2">
      <c r="E716" s="83"/>
      <c r="F716" s="83"/>
      <c r="G716" s="83"/>
      <c r="H716" s="83"/>
      <c r="I716" s="83"/>
      <c r="J716" s="83"/>
      <c r="L716" s="28"/>
    </row>
    <row r="717" spans="5:12" ht="15.75" customHeight="1" x14ac:dyDescent="0.2">
      <c r="E717" s="83"/>
      <c r="F717" s="83"/>
      <c r="G717" s="83"/>
      <c r="H717" s="83"/>
      <c r="I717" s="83"/>
      <c r="J717" s="83"/>
      <c r="L717" s="28"/>
    </row>
    <row r="718" spans="5:12" ht="15.75" customHeight="1" x14ac:dyDescent="0.2">
      <c r="E718" s="83"/>
      <c r="F718" s="83"/>
      <c r="G718" s="83"/>
      <c r="H718" s="83"/>
      <c r="I718" s="83"/>
      <c r="J718" s="83"/>
      <c r="L718" s="28"/>
    </row>
    <row r="719" spans="5:12" ht="15.75" customHeight="1" x14ac:dyDescent="0.2">
      <c r="E719" s="83"/>
      <c r="F719" s="83"/>
      <c r="G719" s="83"/>
      <c r="H719" s="83"/>
      <c r="I719" s="83"/>
      <c r="J719" s="83"/>
      <c r="L719" s="28"/>
    </row>
    <row r="720" spans="5:12" ht="15.75" customHeight="1" x14ac:dyDescent="0.2">
      <c r="E720" s="83"/>
      <c r="F720" s="83"/>
      <c r="G720" s="83"/>
      <c r="H720" s="83"/>
      <c r="I720" s="83"/>
      <c r="J720" s="83"/>
      <c r="L720" s="28"/>
    </row>
    <row r="721" spans="5:12" ht="15.75" customHeight="1" x14ac:dyDescent="0.2">
      <c r="E721" s="83"/>
      <c r="F721" s="83"/>
      <c r="G721" s="83"/>
      <c r="H721" s="83"/>
      <c r="I721" s="83"/>
      <c r="J721" s="83"/>
      <c r="L721" s="28"/>
    </row>
    <row r="722" spans="5:12" ht="15.75" customHeight="1" x14ac:dyDescent="0.2">
      <c r="E722" s="83"/>
      <c r="F722" s="83"/>
      <c r="G722" s="83"/>
      <c r="H722" s="83"/>
      <c r="I722" s="83"/>
      <c r="J722" s="83"/>
      <c r="L722" s="28"/>
    </row>
    <row r="723" spans="5:12" ht="15.75" customHeight="1" x14ac:dyDescent="0.2">
      <c r="E723" s="83"/>
      <c r="F723" s="83"/>
      <c r="G723" s="83"/>
      <c r="H723" s="83"/>
      <c r="I723" s="83"/>
      <c r="J723" s="83"/>
      <c r="L723" s="28"/>
    </row>
    <row r="724" spans="5:12" ht="15.75" customHeight="1" x14ac:dyDescent="0.2">
      <c r="E724" s="83"/>
      <c r="F724" s="83"/>
      <c r="G724" s="83"/>
      <c r="H724" s="83"/>
      <c r="I724" s="83"/>
      <c r="J724" s="83"/>
      <c r="L724" s="28"/>
    </row>
    <row r="725" spans="5:12" ht="15.75" customHeight="1" x14ac:dyDescent="0.2">
      <c r="E725" s="83"/>
      <c r="F725" s="83"/>
      <c r="G725" s="83"/>
      <c r="H725" s="83"/>
      <c r="I725" s="83"/>
      <c r="J725" s="83"/>
      <c r="L725" s="28"/>
    </row>
    <row r="726" spans="5:12" ht="15.75" customHeight="1" x14ac:dyDescent="0.2">
      <c r="E726" s="83"/>
      <c r="F726" s="83"/>
      <c r="G726" s="83"/>
      <c r="H726" s="83"/>
      <c r="I726" s="83"/>
      <c r="J726" s="83"/>
      <c r="L726" s="28"/>
    </row>
    <row r="727" spans="5:12" ht="15.75" customHeight="1" x14ac:dyDescent="0.2">
      <c r="E727" s="83"/>
      <c r="F727" s="83"/>
      <c r="G727" s="83"/>
      <c r="H727" s="83"/>
      <c r="I727" s="83"/>
      <c r="J727" s="83"/>
      <c r="L727" s="28"/>
    </row>
    <row r="728" spans="5:12" ht="15.75" customHeight="1" x14ac:dyDescent="0.2">
      <c r="E728" s="83"/>
      <c r="F728" s="83"/>
      <c r="G728" s="83"/>
      <c r="H728" s="83"/>
      <c r="I728" s="83"/>
      <c r="J728" s="83"/>
      <c r="L728" s="28"/>
    </row>
    <row r="729" spans="5:12" ht="15.75" customHeight="1" x14ac:dyDescent="0.2">
      <c r="E729" s="83"/>
      <c r="F729" s="83"/>
      <c r="G729" s="83"/>
      <c r="H729" s="83"/>
      <c r="I729" s="83"/>
      <c r="J729" s="83"/>
      <c r="L729" s="28"/>
    </row>
    <row r="730" spans="5:12" ht="15.75" customHeight="1" x14ac:dyDescent="0.2">
      <c r="E730" s="83"/>
      <c r="F730" s="83"/>
      <c r="G730" s="83"/>
      <c r="H730" s="83"/>
      <c r="I730" s="83"/>
      <c r="J730" s="83"/>
      <c r="L730" s="28"/>
    </row>
    <row r="731" spans="5:12" ht="15.75" customHeight="1" x14ac:dyDescent="0.2">
      <c r="E731" s="83"/>
      <c r="F731" s="83"/>
      <c r="G731" s="83"/>
      <c r="H731" s="83"/>
      <c r="I731" s="83"/>
      <c r="J731" s="83"/>
      <c r="L731" s="28"/>
    </row>
    <row r="732" spans="5:12" ht="15.75" customHeight="1" x14ac:dyDescent="0.2">
      <c r="E732" s="83"/>
      <c r="F732" s="83"/>
      <c r="G732" s="83"/>
      <c r="H732" s="83"/>
      <c r="I732" s="83"/>
      <c r="J732" s="83"/>
      <c r="L732" s="28"/>
    </row>
    <row r="733" spans="5:12" ht="15.75" customHeight="1" x14ac:dyDescent="0.2">
      <c r="E733" s="83"/>
      <c r="F733" s="83"/>
      <c r="G733" s="83"/>
      <c r="H733" s="83"/>
      <c r="I733" s="83"/>
      <c r="J733" s="83"/>
      <c r="L733" s="28"/>
    </row>
    <row r="734" spans="5:12" ht="15.75" customHeight="1" x14ac:dyDescent="0.2">
      <c r="E734" s="83"/>
      <c r="F734" s="83"/>
      <c r="G734" s="83"/>
      <c r="H734" s="83"/>
      <c r="I734" s="83"/>
      <c r="J734" s="83"/>
      <c r="L734" s="28"/>
    </row>
    <row r="735" spans="5:12" ht="15.75" customHeight="1" x14ac:dyDescent="0.2">
      <c r="E735" s="83"/>
      <c r="F735" s="83"/>
      <c r="G735" s="83"/>
      <c r="H735" s="83"/>
      <c r="I735" s="83"/>
      <c r="J735" s="83"/>
      <c r="L735" s="28"/>
    </row>
    <row r="736" spans="5:12" ht="15.75" customHeight="1" x14ac:dyDescent="0.2">
      <c r="E736" s="83"/>
      <c r="F736" s="83"/>
      <c r="G736" s="83"/>
      <c r="H736" s="83"/>
      <c r="I736" s="83"/>
      <c r="J736" s="83"/>
      <c r="L736" s="28"/>
    </row>
    <row r="737" spans="5:12" ht="15.75" customHeight="1" x14ac:dyDescent="0.2">
      <c r="E737" s="83"/>
      <c r="F737" s="83"/>
      <c r="G737" s="83"/>
      <c r="H737" s="83"/>
      <c r="I737" s="83"/>
      <c r="J737" s="83"/>
      <c r="L737" s="28"/>
    </row>
    <row r="738" spans="5:12" ht="15.75" customHeight="1" x14ac:dyDescent="0.2">
      <c r="E738" s="83"/>
      <c r="F738" s="83"/>
      <c r="G738" s="83"/>
      <c r="H738" s="83"/>
      <c r="I738" s="83"/>
      <c r="J738" s="83"/>
      <c r="L738" s="28"/>
    </row>
    <row r="739" spans="5:12" ht="15.75" customHeight="1" x14ac:dyDescent="0.2">
      <c r="E739" s="83"/>
      <c r="F739" s="83"/>
      <c r="G739" s="83"/>
      <c r="H739" s="83"/>
      <c r="I739" s="83"/>
      <c r="J739" s="83"/>
      <c r="L739" s="28"/>
    </row>
    <row r="740" spans="5:12" ht="15.75" customHeight="1" x14ac:dyDescent="0.2">
      <c r="E740" s="83"/>
      <c r="F740" s="83"/>
      <c r="G740" s="83"/>
      <c r="H740" s="83"/>
      <c r="I740" s="83"/>
      <c r="J740" s="83"/>
      <c r="L740" s="28"/>
    </row>
    <row r="741" spans="5:12" ht="15.75" customHeight="1" x14ac:dyDescent="0.2">
      <c r="E741" s="83"/>
      <c r="F741" s="83"/>
      <c r="G741" s="83"/>
      <c r="H741" s="83"/>
      <c r="I741" s="83"/>
      <c r="J741" s="83"/>
      <c r="L741" s="28"/>
    </row>
    <row r="742" spans="5:12" ht="15.75" customHeight="1" x14ac:dyDescent="0.2">
      <c r="E742" s="83"/>
      <c r="F742" s="83"/>
      <c r="G742" s="83"/>
      <c r="H742" s="83"/>
      <c r="I742" s="83"/>
      <c r="J742" s="83"/>
      <c r="L742" s="28"/>
    </row>
    <row r="743" spans="5:12" ht="15.75" customHeight="1" x14ac:dyDescent="0.2">
      <c r="E743" s="83"/>
      <c r="F743" s="83"/>
      <c r="G743" s="83"/>
      <c r="H743" s="83"/>
      <c r="I743" s="83"/>
      <c r="J743" s="83"/>
      <c r="L743" s="28"/>
    </row>
    <row r="744" spans="5:12" ht="15.75" customHeight="1" x14ac:dyDescent="0.2">
      <c r="E744" s="83"/>
      <c r="F744" s="83"/>
      <c r="G744" s="83"/>
      <c r="H744" s="83"/>
      <c r="I744" s="83"/>
      <c r="J744" s="83"/>
      <c r="L744" s="28"/>
    </row>
    <row r="745" spans="5:12" ht="15.75" customHeight="1" x14ac:dyDescent="0.2">
      <c r="E745" s="83"/>
      <c r="F745" s="83"/>
      <c r="G745" s="83"/>
      <c r="H745" s="83"/>
      <c r="I745" s="83"/>
      <c r="J745" s="83"/>
      <c r="L745" s="28"/>
    </row>
    <row r="746" spans="5:12" ht="15.75" customHeight="1" x14ac:dyDescent="0.2">
      <c r="E746" s="83"/>
      <c r="F746" s="83"/>
      <c r="G746" s="83"/>
      <c r="H746" s="83"/>
      <c r="I746" s="83"/>
      <c r="J746" s="83"/>
      <c r="L746" s="28"/>
    </row>
    <row r="747" spans="5:12" ht="15.75" customHeight="1" x14ac:dyDescent="0.2">
      <c r="E747" s="83"/>
      <c r="F747" s="83"/>
      <c r="G747" s="83"/>
      <c r="H747" s="83"/>
      <c r="I747" s="83"/>
      <c r="J747" s="83"/>
      <c r="L747" s="28"/>
    </row>
    <row r="748" spans="5:12" ht="15.75" customHeight="1" x14ac:dyDescent="0.2">
      <c r="E748" s="83"/>
      <c r="F748" s="83"/>
      <c r="G748" s="83"/>
      <c r="H748" s="83"/>
      <c r="I748" s="83"/>
      <c r="J748" s="83"/>
      <c r="L748" s="28"/>
    </row>
    <row r="749" spans="5:12" ht="15.75" customHeight="1" x14ac:dyDescent="0.2">
      <c r="E749" s="83"/>
      <c r="F749" s="83"/>
      <c r="G749" s="83"/>
      <c r="H749" s="83"/>
      <c r="I749" s="83"/>
      <c r="J749" s="83"/>
      <c r="L749" s="28"/>
    </row>
    <row r="750" spans="5:12" ht="15.75" customHeight="1" x14ac:dyDescent="0.2">
      <c r="E750" s="83"/>
      <c r="F750" s="83"/>
      <c r="G750" s="83"/>
      <c r="H750" s="83"/>
      <c r="I750" s="83"/>
      <c r="J750" s="83"/>
      <c r="L750" s="28"/>
    </row>
    <row r="751" spans="5:12" ht="15.75" customHeight="1" x14ac:dyDescent="0.2">
      <c r="E751" s="83"/>
      <c r="F751" s="83"/>
      <c r="G751" s="83"/>
      <c r="H751" s="83"/>
      <c r="I751" s="83"/>
      <c r="J751" s="83"/>
      <c r="L751" s="28"/>
    </row>
    <row r="752" spans="5:12" ht="15.75" customHeight="1" x14ac:dyDescent="0.2">
      <c r="E752" s="83"/>
      <c r="F752" s="83"/>
      <c r="G752" s="83"/>
      <c r="H752" s="83"/>
      <c r="I752" s="83"/>
      <c r="J752" s="83"/>
      <c r="L752" s="28"/>
    </row>
    <row r="753" spans="5:12" ht="15.75" customHeight="1" x14ac:dyDescent="0.2">
      <c r="E753" s="83"/>
      <c r="F753" s="83"/>
      <c r="G753" s="83"/>
      <c r="H753" s="83"/>
      <c r="I753" s="83"/>
      <c r="J753" s="83"/>
      <c r="L753" s="28"/>
    </row>
    <row r="754" spans="5:12" ht="15.75" customHeight="1" x14ac:dyDescent="0.2">
      <c r="E754" s="83"/>
      <c r="F754" s="83"/>
      <c r="G754" s="83"/>
      <c r="H754" s="83"/>
      <c r="I754" s="83"/>
      <c r="J754" s="83"/>
      <c r="L754" s="28"/>
    </row>
    <row r="755" spans="5:12" ht="15.75" customHeight="1" x14ac:dyDescent="0.2">
      <c r="E755" s="83"/>
      <c r="F755" s="83"/>
      <c r="G755" s="83"/>
      <c r="H755" s="83"/>
      <c r="I755" s="83"/>
      <c r="J755" s="83"/>
      <c r="L755" s="28"/>
    </row>
    <row r="756" spans="5:12" ht="15.75" customHeight="1" x14ac:dyDescent="0.2">
      <c r="E756" s="83"/>
      <c r="F756" s="83"/>
      <c r="G756" s="83"/>
      <c r="H756" s="83"/>
      <c r="I756" s="83"/>
      <c r="J756" s="83"/>
      <c r="L756" s="28"/>
    </row>
    <row r="757" spans="5:12" ht="15.75" customHeight="1" x14ac:dyDescent="0.2">
      <c r="E757" s="83"/>
      <c r="F757" s="83"/>
      <c r="G757" s="83"/>
      <c r="H757" s="83"/>
      <c r="I757" s="83"/>
      <c r="J757" s="83"/>
      <c r="L757" s="28"/>
    </row>
    <row r="758" spans="5:12" ht="15.75" customHeight="1" x14ac:dyDescent="0.2">
      <c r="E758" s="83"/>
      <c r="F758" s="83"/>
      <c r="G758" s="83"/>
      <c r="H758" s="83"/>
      <c r="I758" s="83"/>
      <c r="J758" s="83"/>
      <c r="L758" s="28"/>
    </row>
    <row r="759" spans="5:12" ht="15.75" customHeight="1" x14ac:dyDescent="0.2">
      <c r="E759" s="83"/>
      <c r="F759" s="83"/>
      <c r="G759" s="83"/>
      <c r="H759" s="83"/>
      <c r="I759" s="83"/>
      <c r="J759" s="83"/>
      <c r="L759" s="28"/>
    </row>
    <row r="760" spans="5:12" ht="15.75" customHeight="1" x14ac:dyDescent="0.2">
      <c r="E760" s="83"/>
      <c r="F760" s="83"/>
      <c r="G760" s="83"/>
      <c r="H760" s="83"/>
      <c r="I760" s="83"/>
      <c r="J760" s="83"/>
      <c r="L760" s="28"/>
    </row>
    <row r="761" spans="5:12" ht="15.75" customHeight="1" x14ac:dyDescent="0.2">
      <c r="E761" s="83"/>
      <c r="F761" s="83"/>
      <c r="G761" s="83"/>
      <c r="H761" s="83"/>
      <c r="I761" s="83"/>
      <c r="J761" s="83"/>
      <c r="L761" s="28"/>
    </row>
    <row r="762" spans="5:12" ht="15.75" customHeight="1" x14ac:dyDescent="0.2">
      <c r="E762" s="83"/>
      <c r="F762" s="83"/>
      <c r="G762" s="83"/>
      <c r="H762" s="83"/>
      <c r="I762" s="83"/>
      <c r="J762" s="83"/>
      <c r="L762" s="28"/>
    </row>
    <row r="763" spans="5:12" ht="15.75" customHeight="1" x14ac:dyDescent="0.2">
      <c r="E763" s="83"/>
      <c r="F763" s="83"/>
      <c r="G763" s="83"/>
      <c r="H763" s="83"/>
      <c r="I763" s="83"/>
      <c r="J763" s="83"/>
      <c r="L763" s="28"/>
    </row>
    <row r="764" spans="5:12" ht="15.75" customHeight="1" x14ac:dyDescent="0.2">
      <c r="E764" s="83"/>
      <c r="F764" s="83"/>
      <c r="G764" s="83"/>
      <c r="H764" s="83"/>
      <c r="I764" s="83"/>
      <c r="J764" s="83"/>
      <c r="L764" s="28"/>
    </row>
    <row r="765" spans="5:12" ht="15.75" customHeight="1" x14ac:dyDescent="0.2">
      <c r="E765" s="83"/>
      <c r="F765" s="83"/>
      <c r="G765" s="83"/>
      <c r="H765" s="83"/>
      <c r="I765" s="83"/>
      <c r="J765" s="83"/>
      <c r="L765" s="28"/>
    </row>
    <row r="766" spans="5:12" ht="15.75" customHeight="1" x14ac:dyDescent="0.2">
      <c r="E766" s="83"/>
      <c r="F766" s="83"/>
      <c r="G766" s="83"/>
      <c r="H766" s="83"/>
      <c r="I766" s="83"/>
      <c r="J766" s="83"/>
      <c r="L766" s="28"/>
    </row>
    <row r="767" spans="5:12" ht="15.75" customHeight="1" x14ac:dyDescent="0.2">
      <c r="E767" s="83"/>
      <c r="F767" s="83"/>
      <c r="G767" s="83"/>
      <c r="H767" s="83"/>
      <c r="I767" s="83"/>
      <c r="J767" s="83"/>
      <c r="L767" s="28"/>
    </row>
    <row r="768" spans="5:12" ht="15.75" customHeight="1" x14ac:dyDescent="0.2">
      <c r="E768" s="83"/>
      <c r="F768" s="83"/>
      <c r="G768" s="83"/>
      <c r="H768" s="83"/>
      <c r="I768" s="83"/>
      <c r="J768" s="83"/>
      <c r="L768" s="28"/>
    </row>
    <row r="769" spans="5:12" ht="15.75" customHeight="1" x14ac:dyDescent="0.2">
      <c r="E769" s="83"/>
      <c r="F769" s="83"/>
      <c r="G769" s="83"/>
      <c r="H769" s="83"/>
      <c r="I769" s="83"/>
      <c r="J769" s="83"/>
      <c r="L769" s="28"/>
    </row>
    <row r="770" spans="5:12" ht="15.75" customHeight="1" x14ac:dyDescent="0.2">
      <c r="E770" s="83"/>
      <c r="F770" s="83"/>
      <c r="G770" s="83"/>
      <c r="H770" s="83"/>
      <c r="I770" s="83"/>
      <c r="J770" s="83"/>
      <c r="L770" s="28"/>
    </row>
    <row r="771" spans="5:12" ht="15.75" customHeight="1" x14ac:dyDescent="0.2">
      <c r="E771" s="83"/>
      <c r="F771" s="83"/>
      <c r="G771" s="83"/>
      <c r="H771" s="83"/>
      <c r="I771" s="83"/>
      <c r="J771" s="83"/>
      <c r="L771" s="28"/>
    </row>
    <row r="772" spans="5:12" ht="15.75" customHeight="1" x14ac:dyDescent="0.2">
      <c r="E772" s="83"/>
      <c r="F772" s="83"/>
      <c r="G772" s="83"/>
      <c r="H772" s="83"/>
      <c r="I772" s="83"/>
      <c r="J772" s="83"/>
      <c r="L772" s="28"/>
    </row>
    <row r="773" spans="5:12" ht="15.75" customHeight="1" x14ac:dyDescent="0.2">
      <c r="E773" s="83"/>
      <c r="F773" s="83"/>
      <c r="G773" s="83"/>
      <c r="H773" s="83"/>
      <c r="I773" s="83"/>
      <c r="J773" s="83"/>
      <c r="L773" s="28"/>
    </row>
    <row r="774" spans="5:12" ht="15.75" customHeight="1" x14ac:dyDescent="0.2">
      <c r="E774" s="83"/>
      <c r="F774" s="83"/>
      <c r="G774" s="83"/>
      <c r="H774" s="83"/>
      <c r="I774" s="83"/>
      <c r="J774" s="83"/>
      <c r="L774" s="28"/>
    </row>
    <row r="775" spans="5:12" ht="15.75" customHeight="1" x14ac:dyDescent="0.2">
      <c r="E775" s="83"/>
      <c r="F775" s="83"/>
      <c r="G775" s="83"/>
      <c r="H775" s="83"/>
      <c r="I775" s="83"/>
      <c r="J775" s="83"/>
      <c r="L775" s="28"/>
    </row>
    <row r="776" spans="5:12" ht="15.75" customHeight="1" x14ac:dyDescent="0.2">
      <c r="E776" s="83"/>
      <c r="F776" s="83"/>
      <c r="G776" s="83"/>
      <c r="H776" s="83"/>
      <c r="I776" s="83"/>
      <c r="J776" s="83"/>
      <c r="L776" s="28"/>
    </row>
    <row r="777" spans="5:12" ht="15.75" customHeight="1" x14ac:dyDescent="0.2">
      <c r="E777" s="83"/>
      <c r="F777" s="83"/>
      <c r="G777" s="83"/>
      <c r="H777" s="83"/>
      <c r="I777" s="83"/>
      <c r="J777" s="83"/>
      <c r="L777" s="28"/>
    </row>
    <row r="778" spans="5:12" ht="15.75" customHeight="1" x14ac:dyDescent="0.2">
      <c r="E778" s="83"/>
      <c r="F778" s="83"/>
      <c r="G778" s="83"/>
      <c r="H778" s="83"/>
      <c r="I778" s="83"/>
      <c r="J778" s="83"/>
      <c r="L778" s="28"/>
    </row>
    <row r="779" spans="5:12" ht="15.75" customHeight="1" x14ac:dyDescent="0.2">
      <c r="E779" s="83"/>
      <c r="F779" s="83"/>
      <c r="G779" s="83"/>
      <c r="H779" s="83"/>
      <c r="I779" s="83"/>
      <c r="J779" s="83"/>
      <c r="L779" s="28"/>
    </row>
    <row r="780" spans="5:12" ht="15.75" customHeight="1" x14ac:dyDescent="0.2">
      <c r="E780" s="83"/>
      <c r="F780" s="83"/>
      <c r="G780" s="83"/>
      <c r="H780" s="83"/>
      <c r="I780" s="83"/>
      <c r="J780" s="83"/>
      <c r="L780" s="28"/>
    </row>
    <row r="781" spans="5:12" ht="15.75" customHeight="1" x14ac:dyDescent="0.2">
      <c r="E781" s="83"/>
      <c r="F781" s="83"/>
      <c r="G781" s="83"/>
      <c r="H781" s="83"/>
      <c r="I781" s="83"/>
      <c r="J781" s="83"/>
      <c r="L781" s="28"/>
    </row>
    <row r="782" spans="5:12" ht="15.75" customHeight="1" x14ac:dyDescent="0.2">
      <c r="E782" s="83"/>
      <c r="F782" s="83"/>
      <c r="G782" s="83"/>
      <c r="H782" s="83"/>
      <c r="I782" s="83"/>
      <c r="J782" s="83"/>
      <c r="L782" s="28"/>
    </row>
    <row r="783" spans="5:12" ht="15.75" customHeight="1" x14ac:dyDescent="0.2">
      <c r="E783" s="83"/>
      <c r="F783" s="83"/>
      <c r="G783" s="83"/>
      <c r="H783" s="83"/>
      <c r="I783" s="83"/>
      <c r="J783" s="83"/>
      <c r="L783" s="28"/>
    </row>
    <row r="784" spans="5:12" ht="15.75" customHeight="1" x14ac:dyDescent="0.2">
      <c r="E784" s="83"/>
      <c r="F784" s="83"/>
      <c r="G784" s="83"/>
      <c r="H784" s="83"/>
      <c r="I784" s="83"/>
      <c r="J784" s="83"/>
      <c r="L784" s="28"/>
    </row>
    <row r="785" spans="5:12" ht="15.75" customHeight="1" x14ac:dyDescent="0.2">
      <c r="E785" s="83"/>
      <c r="F785" s="83"/>
      <c r="G785" s="83"/>
      <c r="H785" s="83"/>
      <c r="I785" s="83"/>
      <c r="J785" s="83"/>
      <c r="L785" s="28"/>
    </row>
    <row r="786" spans="5:12" ht="15.75" customHeight="1" x14ac:dyDescent="0.2">
      <c r="E786" s="83"/>
      <c r="F786" s="83"/>
      <c r="G786" s="83"/>
      <c r="H786" s="83"/>
      <c r="I786" s="83"/>
      <c r="J786" s="83"/>
      <c r="L786" s="28"/>
    </row>
    <row r="787" spans="5:12" ht="15.75" customHeight="1" x14ac:dyDescent="0.2">
      <c r="E787" s="83"/>
      <c r="F787" s="83"/>
      <c r="G787" s="83"/>
      <c r="H787" s="83"/>
      <c r="I787" s="83"/>
      <c r="J787" s="83"/>
      <c r="L787" s="28"/>
    </row>
    <row r="788" spans="5:12" ht="15.75" customHeight="1" x14ac:dyDescent="0.2">
      <c r="E788" s="83"/>
      <c r="F788" s="83"/>
      <c r="G788" s="83"/>
      <c r="H788" s="83"/>
      <c r="I788" s="83"/>
      <c r="J788" s="83"/>
      <c r="L788" s="28"/>
    </row>
    <row r="789" spans="5:12" ht="15.75" customHeight="1" x14ac:dyDescent="0.2">
      <c r="E789" s="83"/>
      <c r="F789" s="83"/>
      <c r="G789" s="83"/>
      <c r="H789" s="83"/>
      <c r="I789" s="83"/>
      <c r="J789" s="83"/>
      <c r="L789" s="28"/>
    </row>
    <row r="790" spans="5:12" ht="15.75" customHeight="1" x14ac:dyDescent="0.2">
      <c r="E790" s="83"/>
      <c r="F790" s="83"/>
      <c r="G790" s="83"/>
      <c r="H790" s="83"/>
      <c r="I790" s="83"/>
      <c r="J790" s="83"/>
      <c r="L790" s="28"/>
    </row>
    <row r="791" spans="5:12" ht="15.75" customHeight="1" x14ac:dyDescent="0.2">
      <c r="E791" s="83"/>
      <c r="F791" s="83"/>
      <c r="G791" s="83"/>
      <c r="H791" s="83"/>
      <c r="I791" s="83"/>
      <c r="J791" s="83"/>
      <c r="L791" s="28"/>
    </row>
    <row r="792" spans="5:12" ht="15.75" customHeight="1" x14ac:dyDescent="0.2">
      <c r="E792" s="83"/>
      <c r="F792" s="83"/>
      <c r="G792" s="83"/>
      <c r="H792" s="83"/>
      <c r="I792" s="83"/>
      <c r="J792" s="83"/>
      <c r="L792" s="28"/>
    </row>
    <row r="793" spans="5:12" ht="15.75" customHeight="1" x14ac:dyDescent="0.2">
      <c r="E793" s="83"/>
      <c r="F793" s="83"/>
      <c r="G793" s="83"/>
      <c r="H793" s="83"/>
      <c r="I793" s="83"/>
      <c r="J793" s="83"/>
      <c r="L793" s="28"/>
    </row>
    <row r="794" spans="5:12" ht="15.75" customHeight="1" x14ac:dyDescent="0.2">
      <c r="E794" s="83"/>
      <c r="F794" s="83"/>
      <c r="G794" s="83"/>
      <c r="H794" s="83"/>
      <c r="I794" s="83"/>
      <c r="J794" s="83"/>
      <c r="L794" s="28"/>
    </row>
    <row r="795" spans="5:12" ht="15.75" customHeight="1" x14ac:dyDescent="0.2">
      <c r="E795" s="83"/>
      <c r="F795" s="83"/>
      <c r="G795" s="83"/>
      <c r="H795" s="83"/>
      <c r="I795" s="83"/>
      <c r="J795" s="83"/>
      <c r="L795" s="28"/>
    </row>
    <row r="796" spans="5:12" ht="15.75" customHeight="1" x14ac:dyDescent="0.2">
      <c r="E796" s="83"/>
      <c r="F796" s="83"/>
      <c r="G796" s="83"/>
      <c r="H796" s="83"/>
      <c r="I796" s="83"/>
      <c r="J796" s="83"/>
      <c r="L796" s="28"/>
    </row>
    <row r="797" spans="5:12" ht="15.75" customHeight="1" x14ac:dyDescent="0.2">
      <c r="E797" s="83"/>
      <c r="F797" s="83"/>
      <c r="G797" s="83"/>
      <c r="H797" s="83"/>
      <c r="I797" s="83"/>
      <c r="J797" s="83"/>
      <c r="L797" s="28"/>
    </row>
    <row r="798" spans="5:12" ht="15.75" customHeight="1" x14ac:dyDescent="0.2">
      <c r="E798" s="83"/>
      <c r="F798" s="83"/>
      <c r="G798" s="83"/>
      <c r="H798" s="83"/>
      <c r="I798" s="83"/>
      <c r="J798" s="83"/>
      <c r="L798" s="28"/>
    </row>
    <row r="799" spans="5:12" ht="15.75" customHeight="1" x14ac:dyDescent="0.2">
      <c r="E799" s="83"/>
      <c r="F799" s="83"/>
      <c r="G799" s="83"/>
      <c r="H799" s="83"/>
      <c r="I799" s="83"/>
      <c r="J799" s="83"/>
      <c r="L799" s="28"/>
    </row>
    <row r="800" spans="5:12" ht="15.75" customHeight="1" x14ac:dyDescent="0.2">
      <c r="E800" s="83"/>
      <c r="F800" s="83"/>
      <c r="G800" s="83"/>
      <c r="H800" s="83"/>
      <c r="I800" s="83"/>
      <c r="J800" s="83"/>
      <c r="L800" s="28"/>
    </row>
    <row r="801" spans="5:12" ht="15.75" customHeight="1" x14ac:dyDescent="0.2">
      <c r="E801" s="83"/>
      <c r="F801" s="83"/>
      <c r="G801" s="83"/>
      <c r="H801" s="83"/>
      <c r="I801" s="83"/>
      <c r="J801" s="83"/>
      <c r="L801" s="28"/>
    </row>
    <row r="802" spans="5:12" ht="15.75" customHeight="1" x14ac:dyDescent="0.2">
      <c r="E802" s="83"/>
      <c r="F802" s="83"/>
      <c r="G802" s="83"/>
      <c r="H802" s="83"/>
      <c r="I802" s="83"/>
      <c r="J802" s="83"/>
      <c r="L802" s="28"/>
    </row>
    <row r="803" spans="5:12" ht="15.75" customHeight="1" x14ac:dyDescent="0.2">
      <c r="E803" s="83"/>
      <c r="F803" s="83"/>
      <c r="G803" s="83"/>
      <c r="H803" s="83"/>
      <c r="I803" s="83"/>
      <c r="J803" s="83"/>
      <c r="L803" s="28"/>
    </row>
    <row r="804" spans="5:12" ht="15.75" customHeight="1" x14ac:dyDescent="0.2">
      <c r="E804" s="83"/>
      <c r="F804" s="83"/>
      <c r="G804" s="83"/>
      <c r="H804" s="83"/>
      <c r="I804" s="83"/>
      <c r="J804" s="83"/>
      <c r="L804" s="28"/>
    </row>
    <row r="805" spans="5:12" ht="15.75" customHeight="1" x14ac:dyDescent="0.2">
      <c r="E805" s="83"/>
      <c r="F805" s="83"/>
      <c r="G805" s="83"/>
      <c r="H805" s="83"/>
      <c r="I805" s="83"/>
      <c r="J805" s="83"/>
      <c r="L805" s="28"/>
    </row>
    <row r="806" spans="5:12" ht="15.75" customHeight="1" x14ac:dyDescent="0.2">
      <c r="E806" s="83"/>
      <c r="F806" s="83"/>
      <c r="G806" s="83"/>
      <c r="H806" s="83"/>
      <c r="I806" s="83"/>
      <c r="J806" s="83"/>
      <c r="L806" s="28"/>
    </row>
    <row r="807" spans="5:12" ht="15.75" customHeight="1" x14ac:dyDescent="0.2">
      <c r="E807" s="83"/>
      <c r="F807" s="83"/>
      <c r="G807" s="83"/>
      <c r="H807" s="83"/>
      <c r="I807" s="83"/>
      <c r="J807" s="83"/>
      <c r="L807" s="28"/>
    </row>
    <row r="808" spans="5:12" ht="15.75" customHeight="1" x14ac:dyDescent="0.2">
      <c r="E808" s="83"/>
      <c r="F808" s="83"/>
      <c r="G808" s="83"/>
      <c r="H808" s="83"/>
      <c r="I808" s="83"/>
      <c r="J808" s="83"/>
      <c r="L808" s="28"/>
    </row>
    <row r="809" spans="5:12" ht="15.75" customHeight="1" x14ac:dyDescent="0.2">
      <c r="E809" s="83"/>
      <c r="F809" s="83"/>
      <c r="G809" s="83"/>
      <c r="H809" s="83"/>
      <c r="I809" s="83"/>
      <c r="J809" s="83"/>
      <c r="L809" s="28"/>
    </row>
    <row r="810" spans="5:12" ht="15.75" customHeight="1" x14ac:dyDescent="0.2">
      <c r="E810" s="83"/>
      <c r="F810" s="83"/>
      <c r="G810" s="83"/>
      <c r="H810" s="83"/>
      <c r="I810" s="83"/>
      <c r="J810" s="83"/>
      <c r="L810" s="28"/>
    </row>
    <row r="811" spans="5:12" ht="15.75" customHeight="1" x14ac:dyDescent="0.2">
      <c r="E811" s="83"/>
      <c r="F811" s="83"/>
      <c r="G811" s="83"/>
      <c r="H811" s="83"/>
      <c r="I811" s="83"/>
      <c r="J811" s="83"/>
      <c r="L811" s="28"/>
    </row>
    <row r="812" spans="5:12" ht="15.75" customHeight="1" x14ac:dyDescent="0.2">
      <c r="E812" s="83"/>
      <c r="F812" s="83"/>
      <c r="G812" s="83"/>
      <c r="H812" s="83"/>
      <c r="I812" s="83"/>
      <c r="J812" s="83"/>
      <c r="L812" s="28"/>
    </row>
    <row r="813" spans="5:12" ht="15.75" customHeight="1" x14ac:dyDescent="0.2">
      <c r="E813" s="83"/>
      <c r="F813" s="83"/>
      <c r="G813" s="83"/>
      <c r="H813" s="83"/>
      <c r="I813" s="83"/>
      <c r="J813" s="83"/>
      <c r="L813" s="28"/>
    </row>
    <row r="814" spans="5:12" ht="15.75" customHeight="1" x14ac:dyDescent="0.2">
      <c r="E814" s="83"/>
      <c r="F814" s="83"/>
      <c r="G814" s="83"/>
      <c r="H814" s="83"/>
      <c r="I814" s="83"/>
      <c r="J814" s="83"/>
      <c r="L814" s="28"/>
    </row>
    <row r="815" spans="5:12" ht="15.75" customHeight="1" x14ac:dyDescent="0.2">
      <c r="E815" s="83"/>
      <c r="F815" s="83"/>
      <c r="G815" s="83"/>
      <c r="H815" s="83"/>
      <c r="I815" s="83"/>
      <c r="J815" s="83"/>
      <c r="L815" s="28"/>
    </row>
    <row r="816" spans="5:12" ht="15.75" customHeight="1" x14ac:dyDescent="0.2">
      <c r="E816" s="83"/>
      <c r="F816" s="83"/>
      <c r="G816" s="83"/>
      <c r="H816" s="83"/>
      <c r="I816" s="83"/>
      <c r="J816" s="83"/>
      <c r="L816" s="28"/>
    </row>
    <row r="817" spans="5:12" ht="15.75" customHeight="1" x14ac:dyDescent="0.2">
      <c r="E817" s="83"/>
      <c r="F817" s="83"/>
      <c r="G817" s="83"/>
      <c r="H817" s="83"/>
      <c r="I817" s="83"/>
      <c r="J817" s="83"/>
      <c r="L817" s="28"/>
    </row>
    <row r="818" spans="5:12" ht="15.75" customHeight="1" x14ac:dyDescent="0.2">
      <c r="E818" s="83"/>
      <c r="F818" s="83"/>
      <c r="G818" s="83"/>
      <c r="H818" s="83"/>
      <c r="I818" s="83"/>
      <c r="J818" s="83"/>
      <c r="L818" s="28"/>
    </row>
    <row r="819" spans="5:12" ht="15.75" customHeight="1" x14ac:dyDescent="0.2">
      <c r="E819" s="83"/>
      <c r="F819" s="83"/>
      <c r="G819" s="83"/>
      <c r="H819" s="83"/>
      <c r="I819" s="83"/>
      <c r="J819" s="83"/>
      <c r="L819" s="28"/>
    </row>
    <row r="820" spans="5:12" ht="15.75" customHeight="1" x14ac:dyDescent="0.2">
      <c r="E820" s="83"/>
      <c r="F820" s="83"/>
      <c r="G820" s="83"/>
      <c r="H820" s="83"/>
      <c r="I820" s="83"/>
      <c r="J820" s="83"/>
      <c r="L820" s="28"/>
    </row>
    <row r="821" spans="5:12" ht="15.75" customHeight="1" x14ac:dyDescent="0.2">
      <c r="E821" s="83"/>
      <c r="F821" s="83"/>
      <c r="G821" s="83"/>
      <c r="H821" s="83"/>
      <c r="I821" s="83"/>
      <c r="J821" s="83"/>
      <c r="L821" s="28"/>
    </row>
    <row r="822" spans="5:12" ht="15.75" customHeight="1" x14ac:dyDescent="0.2">
      <c r="E822" s="83"/>
      <c r="F822" s="83"/>
      <c r="G822" s="83"/>
      <c r="H822" s="83"/>
      <c r="I822" s="83"/>
      <c r="J822" s="83"/>
      <c r="L822" s="28"/>
    </row>
    <row r="823" spans="5:12" ht="15.75" customHeight="1" x14ac:dyDescent="0.2">
      <c r="E823" s="83"/>
      <c r="F823" s="83"/>
      <c r="G823" s="83"/>
      <c r="H823" s="83"/>
      <c r="I823" s="83"/>
      <c r="J823" s="83"/>
      <c r="L823" s="28"/>
    </row>
    <row r="824" spans="5:12" ht="15.75" customHeight="1" x14ac:dyDescent="0.2">
      <c r="E824" s="83"/>
      <c r="F824" s="83"/>
      <c r="G824" s="83"/>
      <c r="H824" s="83"/>
      <c r="I824" s="83"/>
      <c r="J824" s="83"/>
      <c r="L824" s="28"/>
    </row>
    <row r="825" spans="5:12" ht="15.75" customHeight="1" x14ac:dyDescent="0.2">
      <c r="E825" s="83"/>
      <c r="F825" s="83"/>
      <c r="G825" s="83"/>
      <c r="H825" s="83"/>
      <c r="I825" s="83"/>
      <c r="J825" s="83"/>
      <c r="L825" s="28"/>
    </row>
    <row r="826" spans="5:12" ht="15.75" customHeight="1" x14ac:dyDescent="0.2">
      <c r="E826" s="83"/>
      <c r="F826" s="83"/>
      <c r="G826" s="83"/>
      <c r="H826" s="83"/>
      <c r="I826" s="83"/>
      <c r="J826" s="83"/>
      <c r="L826" s="28"/>
    </row>
    <row r="827" spans="5:12" ht="15.75" customHeight="1" x14ac:dyDescent="0.2">
      <c r="E827" s="83"/>
      <c r="F827" s="83"/>
      <c r="G827" s="83"/>
      <c r="H827" s="83"/>
      <c r="I827" s="83"/>
      <c r="J827" s="83"/>
      <c r="L827" s="28"/>
    </row>
    <row r="828" spans="5:12" ht="15.75" customHeight="1" x14ac:dyDescent="0.2">
      <c r="E828" s="83"/>
      <c r="F828" s="83"/>
      <c r="G828" s="83"/>
      <c r="H828" s="83"/>
      <c r="I828" s="83"/>
      <c r="J828" s="83"/>
      <c r="L828" s="28"/>
    </row>
    <row r="829" spans="5:12" ht="15.75" customHeight="1" x14ac:dyDescent="0.2">
      <c r="E829" s="83"/>
      <c r="F829" s="83"/>
      <c r="G829" s="83"/>
      <c r="H829" s="83"/>
      <c r="I829" s="83"/>
      <c r="J829" s="83"/>
      <c r="L829" s="28"/>
    </row>
    <row r="830" spans="5:12" ht="15.75" customHeight="1" x14ac:dyDescent="0.2">
      <c r="E830" s="83"/>
      <c r="F830" s="83"/>
      <c r="G830" s="83"/>
      <c r="H830" s="83"/>
      <c r="I830" s="83"/>
      <c r="J830" s="83"/>
      <c r="L830" s="28"/>
    </row>
    <row r="831" spans="5:12" ht="15.75" customHeight="1" x14ac:dyDescent="0.2">
      <c r="E831" s="83"/>
      <c r="F831" s="83"/>
      <c r="G831" s="83"/>
      <c r="H831" s="83"/>
      <c r="I831" s="83"/>
      <c r="J831" s="83"/>
      <c r="L831" s="28"/>
    </row>
    <row r="832" spans="5:12" ht="15.75" customHeight="1" x14ac:dyDescent="0.2">
      <c r="E832" s="83"/>
      <c r="F832" s="83"/>
      <c r="G832" s="83"/>
      <c r="H832" s="83"/>
      <c r="I832" s="83"/>
      <c r="J832" s="83"/>
      <c r="L832" s="28"/>
    </row>
    <row r="833" spans="5:12" ht="15.75" customHeight="1" x14ac:dyDescent="0.2">
      <c r="E833" s="83"/>
      <c r="F833" s="83"/>
      <c r="G833" s="83"/>
      <c r="H833" s="83"/>
      <c r="I833" s="83"/>
      <c r="J833" s="83"/>
      <c r="L833" s="28"/>
    </row>
    <row r="834" spans="5:12" ht="15.75" customHeight="1" x14ac:dyDescent="0.2">
      <c r="E834" s="83"/>
      <c r="F834" s="83"/>
      <c r="G834" s="83"/>
      <c r="H834" s="83"/>
      <c r="I834" s="83"/>
      <c r="J834" s="83"/>
      <c r="L834" s="28"/>
    </row>
    <row r="835" spans="5:12" ht="15.75" customHeight="1" x14ac:dyDescent="0.2">
      <c r="E835" s="83"/>
      <c r="F835" s="83"/>
      <c r="G835" s="83"/>
      <c r="H835" s="83"/>
      <c r="I835" s="83"/>
      <c r="J835" s="83"/>
      <c r="L835" s="28"/>
    </row>
    <row r="836" spans="5:12" ht="15.75" customHeight="1" x14ac:dyDescent="0.2">
      <c r="E836" s="83"/>
      <c r="F836" s="83"/>
      <c r="G836" s="83"/>
      <c r="H836" s="83"/>
      <c r="I836" s="83"/>
      <c r="J836" s="83"/>
      <c r="L836" s="28"/>
    </row>
    <row r="837" spans="5:12" ht="15.75" customHeight="1" x14ac:dyDescent="0.2">
      <c r="E837" s="83"/>
      <c r="F837" s="83"/>
      <c r="G837" s="83"/>
      <c r="H837" s="83"/>
      <c r="I837" s="83"/>
      <c r="J837" s="83"/>
      <c r="L837" s="28"/>
    </row>
    <row r="838" spans="5:12" ht="15.75" customHeight="1" x14ac:dyDescent="0.2">
      <c r="E838" s="83"/>
      <c r="F838" s="83"/>
      <c r="G838" s="83"/>
      <c r="H838" s="83"/>
      <c r="I838" s="83"/>
      <c r="J838" s="83"/>
      <c r="L838" s="28"/>
    </row>
    <row r="839" spans="5:12" ht="15.75" customHeight="1" x14ac:dyDescent="0.2">
      <c r="E839" s="83"/>
      <c r="F839" s="83"/>
      <c r="G839" s="83"/>
      <c r="H839" s="83"/>
      <c r="I839" s="83"/>
      <c r="J839" s="83"/>
      <c r="L839" s="28"/>
    </row>
    <row r="840" spans="5:12" ht="15.75" customHeight="1" x14ac:dyDescent="0.2">
      <c r="E840" s="83"/>
      <c r="F840" s="83"/>
      <c r="G840" s="83"/>
      <c r="H840" s="83"/>
      <c r="I840" s="83"/>
      <c r="J840" s="83"/>
      <c r="L840" s="28"/>
    </row>
    <row r="841" spans="5:12" ht="15.75" customHeight="1" x14ac:dyDescent="0.2">
      <c r="E841" s="83"/>
      <c r="F841" s="83"/>
      <c r="G841" s="83"/>
      <c r="H841" s="83"/>
      <c r="I841" s="83"/>
      <c r="J841" s="83"/>
      <c r="L841" s="28"/>
    </row>
    <row r="842" spans="5:12" ht="15.75" customHeight="1" x14ac:dyDescent="0.2">
      <c r="E842" s="83"/>
      <c r="F842" s="83"/>
      <c r="G842" s="83"/>
      <c r="H842" s="83"/>
      <c r="I842" s="83"/>
      <c r="J842" s="83"/>
      <c r="L842" s="28"/>
    </row>
    <row r="843" spans="5:12" ht="15.75" customHeight="1" x14ac:dyDescent="0.2">
      <c r="E843" s="83"/>
      <c r="F843" s="83"/>
      <c r="G843" s="83"/>
      <c r="H843" s="83"/>
      <c r="I843" s="83"/>
      <c r="J843" s="83"/>
      <c r="L843" s="28"/>
    </row>
    <row r="844" spans="5:12" ht="15.75" customHeight="1" x14ac:dyDescent="0.2">
      <c r="E844" s="83"/>
      <c r="F844" s="83"/>
      <c r="G844" s="83"/>
      <c r="H844" s="83"/>
      <c r="I844" s="83"/>
      <c r="J844" s="83"/>
      <c r="L844" s="28"/>
    </row>
    <row r="845" spans="5:12" ht="15.75" customHeight="1" x14ac:dyDescent="0.2">
      <c r="E845" s="83"/>
      <c r="F845" s="83"/>
      <c r="G845" s="83"/>
      <c r="H845" s="83"/>
      <c r="I845" s="83"/>
      <c r="J845" s="83"/>
      <c r="L845" s="28"/>
    </row>
    <row r="846" spans="5:12" ht="15.75" customHeight="1" x14ac:dyDescent="0.2">
      <c r="E846" s="83"/>
      <c r="F846" s="83"/>
      <c r="G846" s="83"/>
      <c r="H846" s="83"/>
      <c r="I846" s="83"/>
      <c r="J846" s="83"/>
      <c r="L846" s="28"/>
    </row>
    <row r="847" spans="5:12" ht="15.75" customHeight="1" x14ac:dyDescent="0.2">
      <c r="E847" s="83"/>
      <c r="F847" s="83"/>
      <c r="G847" s="83"/>
      <c r="H847" s="83"/>
      <c r="I847" s="83"/>
      <c r="J847" s="83"/>
      <c r="L847" s="28"/>
    </row>
    <row r="848" spans="5:12" ht="15.75" customHeight="1" x14ac:dyDescent="0.2">
      <c r="E848" s="83"/>
      <c r="F848" s="83"/>
      <c r="G848" s="83"/>
      <c r="H848" s="83"/>
      <c r="I848" s="83"/>
      <c r="J848" s="83"/>
      <c r="L848" s="28"/>
    </row>
    <row r="849" spans="5:12" ht="15.75" customHeight="1" x14ac:dyDescent="0.2">
      <c r="E849" s="83"/>
      <c r="F849" s="83"/>
      <c r="G849" s="83"/>
      <c r="H849" s="83"/>
      <c r="I849" s="83"/>
      <c r="J849" s="83"/>
      <c r="L849" s="28"/>
    </row>
    <row r="850" spans="5:12" ht="15.75" customHeight="1" x14ac:dyDescent="0.2">
      <c r="E850" s="83"/>
      <c r="F850" s="83"/>
      <c r="G850" s="83"/>
      <c r="H850" s="83"/>
      <c r="I850" s="83"/>
      <c r="J850" s="83"/>
      <c r="L850" s="28"/>
    </row>
    <row r="851" spans="5:12" ht="15.75" customHeight="1" x14ac:dyDescent="0.2">
      <c r="E851" s="83"/>
      <c r="F851" s="83"/>
      <c r="G851" s="83"/>
      <c r="H851" s="83"/>
      <c r="I851" s="83"/>
      <c r="J851" s="83"/>
      <c r="L851" s="28"/>
    </row>
    <row r="852" spans="5:12" ht="15.75" customHeight="1" x14ac:dyDescent="0.2">
      <c r="E852" s="83"/>
      <c r="F852" s="83"/>
      <c r="G852" s="83"/>
      <c r="H852" s="83"/>
      <c r="I852" s="83"/>
      <c r="J852" s="83"/>
      <c r="L852" s="28"/>
    </row>
    <row r="853" spans="5:12" ht="15.75" customHeight="1" x14ac:dyDescent="0.2">
      <c r="E853" s="83"/>
      <c r="F853" s="83"/>
      <c r="G853" s="83"/>
      <c r="H853" s="83"/>
      <c r="I853" s="83"/>
      <c r="J853" s="83"/>
      <c r="L853" s="28"/>
    </row>
    <row r="854" spans="5:12" ht="15.75" customHeight="1" x14ac:dyDescent="0.2">
      <c r="E854" s="83"/>
      <c r="F854" s="83"/>
      <c r="G854" s="83"/>
      <c r="H854" s="83"/>
      <c r="I854" s="83"/>
      <c r="J854" s="83"/>
      <c r="L854" s="28"/>
    </row>
    <row r="855" spans="5:12" ht="15.75" customHeight="1" x14ac:dyDescent="0.2">
      <c r="E855" s="83"/>
      <c r="F855" s="83"/>
      <c r="G855" s="83"/>
      <c r="H855" s="83"/>
      <c r="I855" s="83"/>
      <c r="J855" s="83"/>
      <c r="L855" s="28"/>
    </row>
    <row r="856" spans="5:12" ht="15.75" customHeight="1" x14ac:dyDescent="0.2">
      <c r="E856" s="83"/>
      <c r="F856" s="83"/>
      <c r="G856" s="83"/>
      <c r="H856" s="83"/>
      <c r="I856" s="83"/>
      <c r="J856" s="83"/>
      <c r="L856" s="28"/>
    </row>
    <row r="857" spans="5:12" ht="15.75" customHeight="1" x14ac:dyDescent="0.2">
      <c r="E857" s="83"/>
      <c r="F857" s="83"/>
      <c r="G857" s="83"/>
      <c r="H857" s="83"/>
      <c r="I857" s="83"/>
      <c r="J857" s="83"/>
      <c r="L857" s="28"/>
    </row>
    <row r="858" spans="5:12" ht="15.75" customHeight="1" x14ac:dyDescent="0.2">
      <c r="E858" s="83"/>
      <c r="F858" s="83"/>
      <c r="G858" s="83"/>
      <c r="H858" s="83"/>
      <c r="I858" s="83"/>
      <c r="J858" s="83"/>
      <c r="L858" s="28"/>
    </row>
    <row r="859" spans="5:12" ht="15.75" customHeight="1" x14ac:dyDescent="0.2">
      <c r="E859" s="83"/>
      <c r="F859" s="83"/>
      <c r="G859" s="83"/>
      <c r="H859" s="83"/>
      <c r="I859" s="83"/>
      <c r="J859" s="83"/>
      <c r="L859" s="28"/>
    </row>
    <row r="860" spans="5:12" ht="15.75" customHeight="1" x14ac:dyDescent="0.2">
      <c r="E860" s="83"/>
      <c r="F860" s="83"/>
      <c r="G860" s="83"/>
      <c r="H860" s="83"/>
      <c r="I860" s="83"/>
      <c r="J860" s="83"/>
      <c r="L860" s="28"/>
    </row>
    <row r="861" spans="5:12" ht="15.75" customHeight="1" x14ac:dyDescent="0.2">
      <c r="E861" s="83"/>
      <c r="F861" s="83"/>
      <c r="G861" s="83"/>
      <c r="H861" s="83"/>
      <c r="I861" s="83"/>
      <c r="J861" s="83"/>
      <c r="L861" s="28"/>
    </row>
    <row r="862" spans="5:12" ht="15.75" customHeight="1" x14ac:dyDescent="0.2">
      <c r="E862" s="83"/>
      <c r="F862" s="83"/>
      <c r="G862" s="83"/>
      <c r="H862" s="83"/>
      <c r="I862" s="83"/>
      <c r="J862" s="83"/>
      <c r="L862" s="28"/>
    </row>
    <row r="863" spans="5:12" ht="15.75" customHeight="1" x14ac:dyDescent="0.2">
      <c r="E863" s="83"/>
      <c r="F863" s="83"/>
      <c r="G863" s="83"/>
      <c r="H863" s="83"/>
      <c r="I863" s="83"/>
      <c r="J863" s="83"/>
      <c r="L863" s="28"/>
    </row>
    <row r="864" spans="5:12" ht="15.75" customHeight="1" x14ac:dyDescent="0.2">
      <c r="E864" s="83"/>
      <c r="F864" s="83"/>
      <c r="G864" s="83"/>
      <c r="H864" s="83"/>
      <c r="I864" s="83"/>
      <c r="J864" s="83"/>
      <c r="L864" s="28"/>
    </row>
    <row r="865" spans="5:12" ht="15.75" customHeight="1" x14ac:dyDescent="0.2">
      <c r="E865" s="83"/>
      <c r="F865" s="83"/>
      <c r="G865" s="83"/>
      <c r="H865" s="83"/>
      <c r="I865" s="83"/>
      <c r="J865" s="83"/>
      <c r="L865" s="28"/>
    </row>
    <row r="866" spans="5:12" ht="15.75" customHeight="1" x14ac:dyDescent="0.2">
      <c r="E866" s="83"/>
      <c r="F866" s="83"/>
      <c r="G866" s="83"/>
      <c r="H866" s="83"/>
      <c r="I866" s="83"/>
      <c r="J866" s="83"/>
      <c r="L866" s="28"/>
    </row>
    <row r="867" spans="5:12" ht="15.75" customHeight="1" x14ac:dyDescent="0.2">
      <c r="E867" s="83"/>
      <c r="F867" s="83"/>
      <c r="G867" s="83"/>
      <c r="H867" s="83"/>
      <c r="I867" s="83"/>
      <c r="J867" s="83"/>
      <c r="L867" s="28"/>
    </row>
    <row r="868" spans="5:12" ht="15.75" customHeight="1" x14ac:dyDescent="0.2">
      <c r="E868" s="83"/>
      <c r="F868" s="83"/>
      <c r="G868" s="83"/>
      <c r="H868" s="83"/>
      <c r="I868" s="83"/>
      <c r="J868" s="83"/>
      <c r="L868" s="28"/>
    </row>
    <row r="869" spans="5:12" ht="15.75" customHeight="1" x14ac:dyDescent="0.2">
      <c r="E869" s="83"/>
      <c r="F869" s="83"/>
      <c r="G869" s="83"/>
      <c r="H869" s="83"/>
      <c r="I869" s="83"/>
      <c r="J869" s="83"/>
      <c r="L869" s="28"/>
    </row>
    <row r="870" spans="5:12" ht="15.75" customHeight="1" x14ac:dyDescent="0.2">
      <c r="E870" s="83"/>
      <c r="F870" s="83"/>
      <c r="G870" s="83"/>
      <c r="H870" s="83"/>
      <c r="I870" s="83"/>
      <c r="J870" s="83"/>
      <c r="L870" s="28"/>
    </row>
    <row r="871" spans="5:12" ht="15.75" customHeight="1" x14ac:dyDescent="0.2">
      <c r="E871" s="83"/>
      <c r="F871" s="83"/>
      <c r="G871" s="83"/>
      <c r="H871" s="83"/>
      <c r="I871" s="83"/>
      <c r="J871" s="83"/>
      <c r="L871" s="28"/>
    </row>
    <row r="872" spans="5:12" ht="15.75" customHeight="1" x14ac:dyDescent="0.2">
      <c r="E872" s="83"/>
      <c r="F872" s="83"/>
      <c r="G872" s="83"/>
      <c r="H872" s="83"/>
      <c r="I872" s="83"/>
      <c r="J872" s="83"/>
      <c r="L872" s="28"/>
    </row>
    <row r="873" spans="5:12" ht="15.75" customHeight="1" x14ac:dyDescent="0.2">
      <c r="E873" s="83"/>
      <c r="F873" s="83"/>
      <c r="G873" s="83"/>
      <c r="H873" s="83"/>
      <c r="I873" s="83"/>
      <c r="J873" s="83"/>
      <c r="L873" s="28"/>
    </row>
    <row r="874" spans="5:12" ht="15.75" customHeight="1" x14ac:dyDescent="0.2">
      <c r="E874" s="83"/>
      <c r="F874" s="83"/>
      <c r="G874" s="83"/>
      <c r="H874" s="83"/>
      <c r="I874" s="83"/>
      <c r="J874" s="83"/>
      <c r="L874" s="28"/>
    </row>
    <row r="875" spans="5:12" ht="15.75" customHeight="1" x14ac:dyDescent="0.2">
      <c r="E875" s="83"/>
      <c r="F875" s="83"/>
      <c r="G875" s="83"/>
      <c r="H875" s="83"/>
      <c r="I875" s="83"/>
      <c r="J875" s="83"/>
      <c r="L875" s="28"/>
    </row>
    <row r="876" spans="5:12" ht="15.75" customHeight="1" x14ac:dyDescent="0.2">
      <c r="E876" s="83"/>
      <c r="F876" s="83"/>
      <c r="G876" s="83"/>
      <c r="H876" s="83"/>
      <c r="I876" s="83"/>
      <c r="J876" s="83"/>
      <c r="L876" s="28"/>
    </row>
    <row r="877" spans="5:12" ht="15.75" customHeight="1" x14ac:dyDescent="0.2">
      <c r="E877" s="83"/>
      <c r="F877" s="83"/>
      <c r="G877" s="83"/>
      <c r="H877" s="83"/>
      <c r="I877" s="83"/>
      <c r="J877" s="83"/>
      <c r="L877" s="28"/>
    </row>
    <row r="878" spans="5:12" ht="15.75" customHeight="1" x14ac:dyDescent="0.2">
      <c r="E878" s="83"/>
      <c r="F878" s="83"/>
      <c r="G878" s="83"/>
      <c r="H878" s="83"/>
      <c r="I878" s="83"/>
      <c r="J878" s="83"/>
      <c r="L878" s="28"/>
    </row>
    <row r="879" spans="5:12" ht="15.75" customHeight="1" x14ac:dyDescent="0.2">
      <c r="E879" s="83"/>
      <c r="F879" s="83"/>
      <c r="G879" s="83"/>
      <c r="H879" s="83"/>
      <c r="I879" s="83"/>
      <c r="J879" s="83"/>
      <c r="L879" s="28"/>
    </row>
    <row r="880" spans="5:12" ht="15.75" customHeight="1" x14ac:dyDescent="0.2">
      <c r="E880" s="83"/>
      <c r="F880" s="83"/>
      <c r="G880" s="83"/>
      <c r="H880" s="83"/>
      <c r="I880" s="83"/>
      <c r="J880" s="83"/>
      <c r="L880" s="28"/>
    </row>
    <row r="881" spans="5:12" ht="15.75" customHeight="1" x14ac:dyDescent="0.2">
      <c r="E881" s="83"/>
      <c r="F881" s="83"/>
      <c r="G881" s="83"/>
      <c r="H881" s="83"/>
      <c r="I881" s="83"/>
      <c r="J881" s="83"/>
      <c r="L881" s="28"/>
    </row>
    <row r="882" spans="5:12" ht="15.75" customHeight="1" x14ac:dyDescent="0.2">
      <c r="E882" s="83"/>
      <c r="F882" s="83"/>
      <c r="G882" s="83"/>
      <c r="H882" s="83"/>
      <c r="I882" s="83"/>
      <c r="J882" s="83"/>
      <c r="L882" s="28"/>
    </row>
    <row r="883" spans="5:12" ht="15.75" customHeight="1" x14ac:dyDescent="0.2">
      <c r="E883" s="83"/>
      <c r="F883" s="83"/>
      <c r="G883" s="83"/>
      <c r="H883" s="83"/>
      <c r="I883" s="83"/>
      <c r="J883" s="83"/>
      <c r="L883" s="28"/>
    </row>
    <row r="884" spans="5:12" ht="15.75" customHeight="1" x14ac:dyDescent="0.2">
      <c r="E884" s="83"/>
      <c r="F884" s="83"/>
      <c r="G884" s="83"/>
      <c r="H884" s="83"/>
      <c r="I884" s="83"/>
      <c r="J884" s="83"/>
      <c r="L884" s="28"/>
    </row>
    <row r="885" spans="5:12" ht="15.75" customHeight="1" x14ac:dyDescent="0.2">
      <c r="E885" s="83"/>
      <c r="F885" s="83"/>
      <c r="G885" s="83"/>
      <c r="H885" s="83"/>
      <c r="I885" s="83"/>
      <c r="J885" s="83"/>
      <c r="L885" s="28"/>
    </row>
    <row r="886" spans="5:12" ht="15.75" customHeight="1" x14ac:dyDescent="0.2">
      <c r="E886" s="83"/>
      <c r="F886" s="83"/>
      <c r="G886" s="83"/>
      <c r="H886" s="83"/>
      <c r="I886" s="83"/>
      <c r="J886" s="83"/>
      <c r="L886" s="28"/>
    </row>
    <row r="887" spans="5:12" ht="15.75" customHeight="1" x14ac:dyDescent="0.2">
      <c r="E887" s="83"/>
      <c r="F887" s="83"/>
      <c r="G887" s="83"/>
      <c r="H887" s="83"/>
      <c r="I887" s="83"/>
      <c r="J887" s="83"/>
      <c r="L887" s="28"/>
    </row>
    <row r="888" spans="5:12" ht="15.75" customHeight="1" x14ac:dyDescent="0.2">
      <c r="E888" s="83"/>
      <c r="F888" s="83"/>
      <c r="G888" s="83"/>
      <c r="H888" s="83"/>
      <c r="I888" s="83"/>
      <c r="J888" s="83"/>
      <c r="L888" s="28"/>
    </row>
    <row r="889" spans="5:12" ht="15.75" customHeight="1" x14ac:dyDescent="0.2">
      <c r="E889" s="83"/>
      <c r="F889" s="83"/>
      <c r="G889" s="83"/>
      <c r="H889" s="83"/>
      <c r="I889" s="83"/>
      <c r="J889" s="83"/>
      <c r="L889" s="28"/>
    </row>
    <row r="890" spans="5:12" ht="15.75" customHeight="1" x14ac:dyDescent="0.2">
      <c r="E890" s="83"/>
      <c r="F890" s="83"/>
      <c r="G890" s="83"/>
      <c r="H890" s="83"/>
      <c r="I890" s="83"/>
      <c r="J890" s="83"/>
      <c r="L890" s="28"/>
    </row>
    <row r="891" spans="5:12" ht="15.75" customHeight="1" x14ac:dyDescent="0.2">
      <c r="E891" s="83"/>
      <c r="F891" s="83"/>
      <c r="G891" s="83"/>
      <c r="H891" s="83"/>
      <c r="I891" s="83"/>
      <c r="J891" s="83"/>
      <c r="L891" s="28"/>
    </row>
    <row r="892" spans="5:12" ht="15.75" customHeight="1" x14ac:dyDescent="0.2">
      <c r="E892" s="83"/>
      <c r="F892" s="83"/>
      <c r="G892" s="83"/>
      <c r="H892" s="83"/>
      <c r="I892" s="83"/>
      <c r="J892" s="83"/>
      <c r="L892" s="28"/>
    </row>
    <row r="893" spans="5:12" ht="15.75" customHeight="1" x14ac:dyDescent="0.2">
      <c r="E893" s="83"/>
      <c r="F893" s="83"/>
      <c r="G893" s="83"/>
      <c r="H893" s="83"/>
      <c r="I893" s="83"/>
      <c r="J893" s="83"/>
      <c r="L893" s="28"/>
    </row>
    <row r="894" spans="5:12" ht="15.75" customHeight="1" x14ac:dyDescent="0.2">
      <c r="E894" s="83"/>
      <c r="F894" s="83"/>
      <c r="G894" s="83"/>
      <c r="H894" s="83"/>
      <c r="I894" s="83"/>
      <c r="J894" s="83"/>
      <c r="L894" s="28"/>
    </row>
    <row r="895" spans="5:12" ht="15.75" customHeight="1" x14ac:dyDescent="0.2">
      <c r="E895" s="83"/>
      <c r="F895" s="83"/>
      <c r="G895" s="83"/>
      <c r="H895" s="83"/>
      <c r="I895" s="83"/>
      <c r="J895" s="83"/>
      <c r="L895" s="28"/>
    </row>
    <row r="896" spans="5:12" ht="15.75" customHeight="1" x14ac:dyDescent="0.2">
      <c r="E896" s="83"/>
      <c r="F896" s="83"/>
      <c r="G896" s="83"/>
      <c r="H896" s="83"/>
      <c r="I896" s="83"/>
      <c r="J896" s="83"/>
      <c r="L896" s="28"/>
    </row>
    <row r="897" spans="5:12" ht="15.75" customHeight="1" x14ac:dyDescent="0.2">
      <c r="E897" s="83"/>
      <c r="F897" s="83"/>
      <c r="G897" s="83"/>
      <c r="H897" s="83"/>
      <c r="I897" s="83"/>
      <c r="J897" s="83"/>
      <c r="L897" s="28"/>
    </row>
    <row r="898" spans="5:12" ht="15.75" customHeight="1" x14ac:dyDescent="0.2">
      <c r="E898" s="83"/>
      <c r="F898" s="83"/>
      <c r="G898" s="83"/>
      <c r="H898" s="83"/>
      <c r="I898" s="83"/>
      <c r="J898" s="83"/>
      <c r="L898" s="28"/>
    </row>
    <row r="899" spans="5:12" ht="15.75" customHeight="1" x14ac:dyDescent="0.2">
      <c r="E899" s="83"/>
      <c r="F899" s="83"/>
      <c r="G899" s="83"/>
      <c r="H899" s="83"/>
      <c r="I899" s="83"/>
      <c r="J899" s="83"/>
      <c r="L899" s="28"/>
    </row>
    <row r="900" spans="5:12" ht="15.75" customHeight="1" x14ac:dyDescent="0.2">
      <c r="E900" s="83"/>
      <c r="F900" s="83"/>
      <c r="G900" s="83"/>
      <c r="H900" s="83"/>
      <c r="I900" s="83"/>
      <c r="J900" s="83"/>
      <c r="L900" s="28"/>
    </row>
    <row r="901" spans="5:12" ht="15.75" customHeight="1" x14ac:dyDescent="0.2">
      <c r="E901" s="83"/>
      <c r="F901" s="83"/>
      <c r="G901" s="83"/>
      <c r="H901" s="83"/>
      <c r="I901" s="83"/>
      <c r="J901" s="83"/>
      <c r="L901" s="28"/>
    </row>
    <row r="902" spans="5:12" ht="15.75" customHeight="1" x14ac:dyDescent="0.2">
      <c r="E902" s="83"/>
      <c r="F902" s="83"/>
      <c r="G902" s="83"/>
      <c r="H902" s="83"/>
      <c r="I902" s="83"/>
      <c r="J902" s="83"/>
      <c r="L902" s="28"/>
    </row>
    <row r="903" spans="5:12" ht="15.75" customHeight="1" x14ac:dyDescent="0.2">
      <c r="E903" s="83"/>
      <c r="F903" s="83"/>
      <c r="G903" s="83"/>
      <c r="H903" s="83"/>
      <c r="I903" s="83"/>
      <c r="J903" s="83"/>
      <c r="L903" s="28"/>
    </row>
    <row r="904" spans="5:12" ht="15.75" customHeight="1" x14ac:dyDescent="0.2">
      <c r="E904" s="83"/>
      <c r="F904" s="83"/>
      <c r="G904" s="83"/>
      <c r="H904" s="83"/>
      <c r="I904" s="83"/>
      <c r="J904" s="83"/>
      <c r="L904" s="28"/>
    </row>
    <row r="905" spans="5:12" ht="15.75" customHeight="1" x14ac:dyDescent="0.2">
      <c r="E905" s="83"/>
      <c r="F905" s="83"/>
      <c r="G905" s="83"/>
      <c r="H905" s="83"/>
      <c r="I905" s="83"/>
      <c r="J905" s="83"/>
      <c r="L905" s="28"/>
    </row>
    <row r="906" spans="5:12" ht="15.75" customHeight="1" x14ac:dyDescent="0.2">
      <c r="E906" s="83"/>
      <c r="F906" s="83"/>
      <c r="G906" s="83"/>
      <c r="H906" s="83"/>
      <c r="I906" s="83"/>
      <c r="J906" s="83"/>
      <c r="L906" s="28"/>
    </row>
    <row r="907" spans="5:12" ht="15.75" customHeight="1" x14ac:dyDescent="0.2">
      <c r="E907" s="83"/>
      <c r="F907" s="83"/>
      <c r="G907" s="83"/>
      <c r="H907" s="83"/>
      <c r="I907" s="83"/>
      <c r="J907" s="83"/>
      <c r="L907" s="28"/>
    </row>
    <row r="908" spans="5:12" ht="15.75" customHeight="1" x14ac:dyDescent="0.2">
      <c r="E908" s="83"/>
      <c r="F908" s="83"/>
      <c r="G908" s="83"/>
      <c r="H908" s="83"/>
      <c r="I908" s="83"/>
      <c r="J908" s="83"/>
      <c r="L908" s="28"/>
    </row>
    <row r="909" spans="5:12" ht="15.75" customHeight="1" x14ac:dyDescent="0.2">
      <c r="E909" s="83"/>
      <c r="F909" s="83"/>
      <c r="G909" s="83"/>
      <c r="H909" s="83"/>
      <c r="I909" s="83"/>
      <c r="J909" s="83"/>
      <c r="L909" s="28"/>
    </row>
    <row r="910" spans="5:12" ht="15.75" customHeight="1" x14ac:dyDescent="0.2">
      <c r="E910" s="83"/>
      <c r="F910" s="83"/>
      <c r="G910" s="83"/>
      <c r="H910" s="83"/>
      <c r="I910" s="83"/>
      <c r="J910" s="83"/>
      <c r="L910" s="28"/>
    </row>
    <row r="911" spans="5:12" ht="15.75" customHeight="1" x14ac:dyDescent="0.2">
      <c r="E911" s="83"/>
      <c r="F911" s="83"/>
      <c r="G911" s="83"/>
      <c r="H911" s="83"/>
      <c r="I911" s="83"/>
      <c r="J911" s="83"/>
      <c r="L911" s="28"/>
    </row>
    <row r="912" spans="5:12" ht="15.75" customHeight="1" x14ac:dyDescent="0.2">
      <c r="E912" s="83"/>
      <c r="F912" s="83"/>
      <c r="G912" s="83"/>
      <c r="H912" s="83"/>
      <c r="I912" s="83"/>
      <c r="J912" s="83"/>
      <c r="L912" s="28"/>
    </row>
    <row r="913" spans="5:12" ht="15.75" customHeight="1" x14ac:dyDescent="0.2">
      <c r="E913" s="83"/>
      <c r="F913" s="83"/>
      <c r="G913" s="83"/>
      <c r="H913" s="83"/>
      <c r="I913" s="83"/>
      <c r="J913" s="83"/>
      <c r="L913" s="28"/>
    </row>
    <row r="914" spans="5:12" ht="15.75" customHeight="1" x14ac:dyDescent="0.2">
      <c r="E914" s="83"/>
      <c r="F914" s="83"/>
      <c r="G914" s="83"/>
      <c r="H914" s="83"/>
      <c r="I914" s="83"/>
      <c r="J914" s="83"/>
      <c r="L914" s="28"/>
    </row>
    <row r="915" spans="5:12" ht="15.75" customHeight="1" x14ac:dyDescent="0.2">
      <c r="E915" s="83"/>
      <c r="F915" s="83"/>
      <c r="G915" s="83"/>
      <c r="H915" s="83"/>
      <c r="I915" s="83"/>
      <c r="J915" s="83"/>
      <c r="L915" s="28"/>
    </row>
    <row r="916" spans="5:12" ht="15.75" customHeight="1" x14ac:dyDescent="0.2">
      <c r="E916" s="83"/>
      <c r="F916" s="83"/>
      <c r="G916" s="83"/>
      <c r="H916" s="83"/>
      <c r="I916" s="83"/>
      <c r="J916" s="83"/>
      <c r="L916" s="28"/>
    </row>
    <row r="917" spans="5:12" ht="15.75" customHeight="1" x14ac:dyDescent="0.2">
      <c r="E917" s="83"/>
      <c r="F917" s="83"/>
      <c r="G917" s="83"/>
      <c r="H917" s="83"/>
      <c r="I917" s="83"/>
      <c r="J917" s="83"/>
      <c r="L917" s="28"/>
    </row>
    <row r="918" spans="5:12" ht="15.75" customHeight="1" x14ac:dyDescent="0.2">
      <c r="E918" s="83"/>
      <c r="F918" s="83"/>
      <c r="G918" s="83"/>
      <c r="H918" s="83"/>
      <c r="I918" s="83"/>
      <c r="J918" s="83"/>
      <c r="L918" s="28"/>
    </row>
    <row r="919" spans="5:12" ht="15.75" customHeight="1" x14ac:dyDescent="0.2">
      <c r="E919" s="83"/>
      <c r="F919" s="83"/>
      <c r="G919" s="83"/>
      <c r="H919" s="83"/>
      <c r="I919" s="83"/>
      <c r="J919" s="83"/>
      <c r="L919" s="28"/>
    </row>
    <row r="920" spans="5:12" ht="15.75" customHeight="1" x14ac:dyDescent="0.2">
      <c r="E920" s="83"/>
      <c r="F920" s="83"/>
      <c r="G920" s="83"/>
      <c r="H920" s="83"/>
      <c r="I920" s="83"/>
      <c r="J920" s="83"/>
      <c r="L920" s="28"/>
    </row>
    <row r="921" spans="5:12" ht="15.75" customHeight="1" x14ac:dyDescent="0.2">
      <c r="E921" s="83"/>
      <c r="F921" s="83"/>
      <c r="G921" s="83"/>
      <c r="H921" s="83"/>
      <c r="I921" s="83"/>
      <c r="J921" s="83"/>
      <c r="L921" s="28"/>
    </row>
    <row r="922" spans="5:12" ht="15.75" customHeight="1" x14ac:dyDescent="0.2">
      <c r="E922" s="83"/>
      <c r="F922" s="83"/>
      <c r="G922" s="83"/>
      <c r="H922" s="83"/>
      <c r="I922" s="83"/>
      <c r="J922" s="83"/>
      <c r="L922" s="28"/>
    </row>
    <row r="923" spans="5:12" ht="15.75" customHeight="1" x14ac:dyDescent="0.2">
      <c r="E923" s="83"/>
      <c r="F923" s="83"/>
      <c r="G923" s="83"/>
      <c r="H923" s="83"/>
      <c r="I923" s="83"/>
      <c r="J923" s="83"/>
      <c r="L923" s="28"/>
    </row>
    <row r="924" spans="5:12" ht="15.75" customHeight="1" x14ac:dyDescent="0.2">
      <c r="E924" s="83"/>
      <c r="F924" s="83"/>
      <c r="G924" s="83"/>
      <c r="H924" s="83"/>
      <c r="I924" s="83"/>
      <c r="J924" s="83"/>
      <c r="L924" s="28"/>
    </row>
    <row r="925" spans="5:12" ht="15.75" customHeight="1" x14ac:dyDescent="0.2">
      <c r="E925" s="83"/>
      <c r="F925" s="83"/>
      <c r="G925" s="83"/>
      <c r="H925" s="83"/>
      <c r="I925" s="83"/>
      <c r="J925" s="83"/>
      <c r="L925" s="28"/>
    </row>
    <row r="926" spans="5:12" ht="15.75" customHeight="1" x14ac:dyDescent="0.2">
      <c r="E926" s="83"/>
      <c r="F926" s="83"/>
      <c r="G926" s="83"/>
      <c r="H926" s="83"/>
      <c r="I926" s="83"/>
      <c r="J926" s="83"/>
      <c r="L926" s="28"/>
    </row>
    <row r="927" spans="5:12" ht="15.75" customHeight="1" x14ac:dyDescent="0.2">
      <c r="E927" s="83"/>
      <c r="F927" s="83"/>
      <c r="G927" s="83"/>
      <c r="H927" s="83"/>
      <c r="I927" s="83"/>
      <c r="J927" s="83"/>
      <c r="L927" s="28"/>
    </row>
    <row r="928" spans="5:12" ht="15.75" customHeight="1" x14ac:dyDescent="0.2">
      <c r="E928" s="83"/>
      <c r="F928" s="83"/>
      <c r="G928" s="83"/>
      <c r="H928" s="83"/>
      <c r="I928" s="83"/>
      <c r="J928" s="83"/>
      <c r="L928" s="28"/>
    </row>
    <row r="929" spans="5:12" ht="15.75" customHeight="1" x14ac:dyDescent="0.2">
      <c r="E929" s="83"/>
      <c r="F929" s="83"/>
      <c r="G929" s="83"/>
      <c r="H929" s="83"/>
      <c r="I929" s="83"/>
      <c r="J929" s="83"/>
      <c r="L929" s="28"/>
    </row>
    <row r="930" spans="5:12" ht="15.75" customHeight="1" x14ac:dyDescent="0.2">
      <c r="E930" s="83"/>
      <c r="F930" s="83"/>
      <c r="G930" s="83"/>
      <c r="H930" s="83"/>
      <c r="I930" s="83"/>
      <c r="J930" s="83"/>
      <c r="L930" s="28"/>
    </row>
    <row r="931" spans="5:12" ht="15.75" customHeight="1" x14ac:dyDescent="0.2">
      <c r="E931" s="83"/>
      <c r="F931" s="83"/>
      <c r="G931" s="83"/>
      <c r="H931" s="83"/>
      <c r="I931" s="83"/>
      <c r="J931" s="83"/>
      <c r="L931" s="28"/>
    </row>
    <row r="932" spans="5:12" ht="15.75" customHeight="1" x14ac:dyDescent="0.2">
      <c r="E932" s="83"/>
      <c r="F932" s="83"/>
      <c r="G932" s="83"/>
      <c r="H932" s="83"/>
      <c r="I932" s="83"/>
      <c r="J932" s="83"/>
      <c r="L932" s="28"/>
    </row>
    <row r="933" spans="5:12" ht="15.75" customHeight="1" x14ac:dyDescent="0.2">
      <c r="E933" s="83"/>
      <c r="F933" s="83"/>
      <c r="G933" s="83"/>
      <c r="H933" s="83"/>
      <c r="I933" s="83"/>
      <c r="J933" s="83"/>
      <c r="L933" s="28"/>
    </row>
    <row r="934" spans="5:12" ht="15.75" customHeight="1" x14ac:dyDescent="0.2">
      <c r="E934" s="83"/>
      <c r="F934" s="83"/>
      <c r="G934" s="83"/>
      <c r="H934" s="83"/>
      <c r="I934" s="83"/>
      <c r="J934" s="83"/>
      <c r="L934" s="28"/>
    </row>
    <row r="935" spans="5:12" ht="15.75" customHeight="1" x14ac:dyDescent="0.2">
      <c r="E935" s="83"/>
      <c r="F935" s="83"/>
      <c r="G935" s="83"/>
      <c r="H935" s="83"/>
      <c r="I935" s="83"/>
      <c r="J935" s="83"/>
      <c r="L935" s="28"/>
    </row>
    <row r="936" spans="5:12" ht="15.75" customHeight="1" x14ac:dyDescent="0.2">
      <c r="E936" s="83"/>
      <c r="F936" s="83"/>
      <c r="G936" s="83"/>
      <c r="H936" s="83"/>
      <c r="I936" s="83"/>
      <c r="J936" s="83"/>
      <c r="L936" s="28"/>
    </row>
    <row r="937" spans="5:12" ht="15.75" customHeight="1" x14ac:dyDescent="0.2">
      <c r="E937" s="83"/>
      <c r="F937" s="83"/>
      <c r="G937" s="83"/>
      <c r="H937" s="83"/>
      <c r="I937" s="83"/>
      <c r="J937" s="83"/>
      <c r="L937" s="28"/>
    </row>
    <row r="938" spans="5:12" ht="15.75" customHeight="1" x14ac:dyDescent="0.2">
      <c r="E938" s="83"/>
      <c r="F938" s="83"/>
      <c r="G938" s="83"/>
      <c r="H938" s="83"/>
      <c r="I938" s="83"/>
      <c r="J938" s="83"/>
      <c r="L938" s="28"/>
    </row>
    <row r="939" spans="5:12" ht="15.75" customHeight="1" x14ac:dyDescent="0.2">
      <c r="E939" s="83"/>
      <c r="F939" s="83"/>
      <c r="G939" s="83"/>
      <c r="H939" s="83"/>
      <c r="I939" s="83"/>
      <c r="J939" s="83"/>
      <c r="L939" s="28"/>
    </row>
    <row r="940" spans="5:12" ht="15.75" customHeight="1" x14ac:dyDescent="0.2">
      <c r="E940" s="83"/>
      <c r="F940" s="83"/>
      <c r="G940" s="83"/>
      <c r="H940" s="83"/>
      <c r="I940" s="83"/>
      <c r="J940" s="83"/>
      <c r="L940" s="28"/>
    </row>
    <row r="941" spans="5:12" ht="15.75" customHeight="1" x14ac:dyDescent="0.2">
      <c r="E941" s="83"/>
      <c r="F941" s="83"/>
      <c r="G941" s="83"/>
      <c r="H941" s="83"/>
      <c r="I941" s="83"/>
      <c r="J941" s="83"/>
      <c r="L941" s="28"/>
    </row>
    <row r="942" spans="5:12" ht="15.75" customHeight="1" x14ac:dyDescent="0.2">
      <c r="E942" s="83"/>
      <c r="F942" s="83"/>
      <c r="G942" s="83"/>
      <c r="H942" s="83"/>
      <c r="I942" s="83"/>
      <c r="J942" s="83"/>
      <c r="L942" s="28"/>
    </row>
    <row r="943" spans="5:12" ht="15.75" customHeight="1" x14ac:dyDescent="0.2">
      <c r="E943" s="83"/>
      <c r="F943" s="83"/>
      <c r="G943" s="83"/>
      <c r="H943" s="83"/>
      <c r="I943" s="83"/>
      <c r="J943" s="83"/>
      <c r="L943" s="28"/>
    </row>
    <row r="944" spans="5:12" ht="15.75" customHeight="1" x14ac:dyDescent="0.2">
      <c r="E944" s="83"/>
      <c r="F944" s="83"/>
      <c r="G944" s="83"/>
      <c r="H944" s="83"/>
      <c r="I944" s="83"/>
      <c r="J944" s="83"/>
      <c r="L944" s="28"/>
    </row>
    <row r="945" spans="5:12" ht="15.75" customHeight="1" x14ac:dyDescent="0.2">
      <c r="E945" s="83"/>
      <c r="F945" s="83"/>
      <c r="G945" s="83"/>
      <c r="H945" s="83"/>
      <c r="I945" s="83"/>
      <c r="J945" s="83"/>
      <c r="L945" s="28"/>
    </row>
    <row r="946" spans="5:12" ht="15.75" customHeight="1" x14ac:dyDescent="0.2">
      <c r="E946" s="83"/>
      <c r="F946" s="83"/>
      <c r="G946" s="83"/>
      <c r="H946" s="83"/>
      <c r="I946" s="83"/>
      <c r="J946" s="83"/>
      <c r="L946" s="28"/>
    </row>
    <row r="947" spans="5:12" ht="15.75" customHeight="1" x14ac:dyDescent="0.2">
      <c r="E947" s="83"/>
      <c r="F947" s="83"/>
      <c r="G947" s="83"/>
      <c r="H947" s="83"/>
      <c r="I947" s="83"/>
      <c r="J947" s="83"/>
      <c r="L947" s="28"/>
    </row>
    <row r="948" spans="5:12" ht="15.75" customHeight="1" x14ac:dyDescent="0.2">
      <c r="E948" s="83"/>
      <c r="F948" s="83"/>
      <c r="G948" s="83"/>
      <c r="H948" s="83"/>
      <c r="I948" s="83"/>
      <c r="J948" s="83"/>
      <c r="L948" s="28"/>
    </row>
    <row r="949" spans="5:12" ht="15.75" customHeight="1" x14ac:dyDescent="0.2">
      <c r="E949" s="83"/>
      <c r="F949" s="83"/>
      <c r="G949" s="83"/>
      <c r="H949" s="83"/>
      <c r="I949" s="83"/>
      <c r="J949" s="83"/>
      <c r="L949" s="28"/>
    </row>
    <row r="950" spans="5:12" ht="15.75" customHeight="1" x14ac:dyDescent="0.2">
      <c r="E950" s="83"/>
      <c r="F950" s="83"/>
      <c r="G950" s="83"/>
      <c r="H950" s="83"/>
      <c r="I950" s="83"/>
      <c r="J950" s="83"/>
      <c r="L950" s="28"/>
    </row>
    <row r="951" spans="5:12" ht="15.75" customHeight="1" x14ac:dyDescent="0.2">
      <c r="E951" s="83"/>
      <c r="F951" s="83"/>
      <c r="G951" s="83"/>
      <c r="H951" s="83"/>
      <c r="I951" s="83"/>
      <c r="J951" s="83"/>
      <c r="L951" s="28"/>
    </row>
    <row r="952" spans="5:12" ht="15.75" customHeight="1" x14ac:dyDescent="0.2">
      <c r="E952" s="83"/>
      <c r="F952" s="83"/>
      <c r="G952" s="83"/>
      <c r="H952" s="83"/>
      <c r="I952" s="83"/>
      <c r="J952" s="83"/>
      <c r="L952" s="28"/>
    </row>
    <row r="953" spans="5:12" ht="15.75" customHeight="1" x14ac:dyDescent="0.2">
      <c r="E953" s="83"/>
      <c r="F953" s="83"/>
      <c r="G953" s="83"/>
      <c r="H953" s="83"/>
      <c r="I953" s="83"/>
      <c r="J953" s="83"/>
      <c r="L953" s="28"/>
    </row>
    <row r="954" spans="5:12" ht="15.75" customHeight="1" x14ac:dyDescent="0.2">
      <c r="E954" s="83"/>
      <c r="F954" s="83"/>
      <c r="G954" s="83"/>
      <c r="H954" s="83"/>
      <c r="I954" s="83"/>
      <c r="J954" s="83"/>
      <c r="L954" s="28"/>
    </row>
    <row r="955" spans="5:12" ht="15.75" customHeight="1" x14ac:dyDescent="0.2">
      <c r="E955" s="83"/>
      <c r="F955" s="83"/>
      <c r="G955" s="83"/>
      <c r="H955" s="83"/>
      <c r="I955" s="83"/>
      <c r="J955" s="83"/>
      <c r="L955" s="28"/>
    </row>
    <row r="956" spans="5:12" ht="15.75" customHeight="1" x14ac:dyDescent="0.2">
      <c r="E956" s="83"/>
      <c r="F956" s="83"/>
      <c r="G956" s="83"/>
      <c r="H956" s="83"/>
      <c r="I956" s="83"/>
      <c r="J956" s="83"/>
      <c r="L956" s="28"/>
    </row>
    <row r="957" spans="5:12" ht="15.75" customHeight="1" x14ac:dyDescent="0.2">
      <c r="E957" s="83"/>
      <c r="F957" s="83"/>
      <c r="G957" s="83"/>
      <c r="H957" s="83"/>
      <c r="I957" s="83"/>
      <c r="J957" s="83"/>
      <c r="L957" s="28"/>
    </row>
    <row r="958" spans="5:12" ht="15.75" customHeight="1" x14ac:dyDescent="0.2">
      <c r="E958" s="83"/>
      <c r="F958" s="83"/>
      <c r="G958" s="83"/>
      <c r="H958" s="83"/>
      <c r="I958" s="83"/>
      <c r="J958" s="83"/>
      <c r="L958" s="28"/>
    </row>
    <row r="959" spans="5:12" ht="15.75" customHeight="1" x14ac:dyDescent="0.2">
      <c r="E959" s="83"/>
      <c r="F959" s="83"/>
      <c r="G959" s="83"/>
      <c r="H959" s="83"/>
      <c r="I959" s="83"/>
      <c r="J959" s="83"/>
      <c r="L959" s="28"/>
    </row>
    <row r="960" spans="5:12" ht="15.75" customHeight="1" x14ac:dyDescent="0.2">
      <c r="E960" s="83"/>
      <c r="F960" s="83"/>
      <c r="G960" s="83"/>
      <c r="H960" s="83"/>
      <c r="I960" s="83"/>
      <c r="J960" s="83"/>
      <c r="L960" s="28"/>
    </row>
    <row r="961" spans="5:12" ht="15.75" customHeight="1" x14ac:dyDescent="0.2">
      <c r="E961" s="83"/>
      <c r="F961" s="83"/>
      <c r="G961" s="83"/>
      <c r="H961" s="83"/>
      <c r="I961" s="83"/>
      <c r="J961" s="83"/>
      <c r="L961" s="28"/>
    </row>
    <row r="962" spans="5:12" ht="15.75" customHeight="1" x14ac:dyDescent="0.2">
      <c r="E962" s="83"/>
      <c r="F962" s="83"/>
      <c r="G962" s="83"/>
      <c r="H962" s="83"/>
      <c r="I962" s="83"/>
      <c r="J962" s="83"/>
      <c r="L962" s="28"/>
    </row>
    <row r="963" spans="5:12" ht="15.75" customHeight="1" x14ac:dyDescent="0.2">
      <c r="E963" s="83"/>
      <c r="F963" s="83"/>
      <c r="G963" s="83"/>
      <c r="H963" s="83"/>
      <c r="I963" s="83"/>
      <c r="J963" s="83"/>
      <c r="L963" s="28"/>
    </row>
    <row r="964" spans="5:12" ht="15.75" customHeight="1" x14ac:dyDescent="0.2">
      <c r="E964" s="83"/>
      <c r="F964" s="83"/>
      <c r="G964" s="83"/>
      <c r="H964" s="83"/>
      <c r="I964" s="83"/>
      <c r="J964" s="83"/>
      <c r="L964" s="28"/>
    </row>
    <row r="965" spans="5:12" ht="15.75" customHeight="1" x14ac:dyDescent="0.2">
      <c r="E965" s="83"/>
      <c r="F965" s="83"/>
      <c r="G965" s="83"/>
      <c r="H965" s="83"/>
      <c r="I965" s="83"/>
      <c r="J965" s="83"/>
      <c r="L965" s="28"/>
    </row>
    <row r="966" spans="5:12" ht="15.75" customHeight="1" x14ac:dyDescent="0.2">
      <c r="E966" s="83"/>
      <c r="F966" s="83"/>
      <c r="G966" s="83"/>
      <c r="H966" s="83"/>
      <c r="I966" s="83"/>
      <c r="J966" s="83"/>
      <c r="L966" s="28"/>
    </row>
    <row r="967" spans="5:12" ht="15.75" customHeight="1" x14ac:dyDescent="0.2">
      <c r="E967" s="83"/>
      <c r="F967" s="83"/>
      <c r="G967" s="83"/>
      <c r="H967" s="83"/>
      <c r="I967" s="83"/>
      <c r="J967" s="83"/>
      <c r="L967" s="28"/>
    </row>
    <row r="968" spans="5:12" ht="15.75" customHeight="1" x14ac:dyDescent="0.2">
      <c r="E968" s="83"/>
      <c r="F968" s="83"/>
      <c r="G968" s="83"/>
      <c r="H968" s="83"/>
      <c r="I968" s="83"/>
      <c r="J968" s="83"/>
      <c r="L968" s="28"/>
    </row>
    <row r="969" spans="5:12" ht="15.75" customHeight="1" x14ac:dyDescent="0.2">
      <c r="E969" s="83"/>
      <c r="F969" s="83"/>
      <c r="G969" s="83"/>
      <c r="H969" s="83"/>
      <c r="I969" s="83"/>
      <c r="J969" s="83"/>
      <c r="L969" s="28"/>
    </row>
    <row r="970" spans="5:12" ht="15.75" customHeight="1" x14ac:dyDescent="0.2">
      <c r="E970" s="83"/>
      <c r="F970" s="83"/>
      <c r="G970" s="83"/>
      <c r="H970" s="83"/>
      <c r="I970" s="83"/>
      <c r="J970" s="83"/>
      <c r="L970" s="28"/>
    </row>
    <row r="971" spans="5:12" ht="15.75" customHeight="1" x14ac:dyDescent="0.2">
      <c r="E971" s="83"/>
      <c r="F971" s="83"/>
      <c r="G971" s="83"/>
      <c r="H971" s="83"/>
      <c r="I971" s="83"/>
      <c r="J971" s="83"/>
      <c r="L971" s="28"/>
    </row>
    <row r="972" spans="5:12" ht="15.75" customHeight="1" x14ac:dyDescent="0.2">
      <c r="E972" s="83"/>
      <c r="F972" s="83"/>
      <c r="G972" s="83"/>
      <c r="H972" s="83"/>
      <c r="I972" s="83"/>
      <c r="J972" s="83"/>
      <c r="L972" s="28"/>
    </row>
    <row r="973" spans="5:12" ht="15.75" customHeight="1" x14ac:dyDescent="0.2">
      <c r="E973" s="83"/>
      <c r="F973" s="83"/>
      <c r="G973" s="83"/>
      <c r="H973" s="83"/>
      <c r="I973" s="83"/>
      <c r="J973" s="83"/>
      <c r="L973" s="28"/>
    </row>
    <row r="974" spans="5:12" ht="15.75" customHeight="1" x14ac:dyDescent="0.2">
      <c r="E974" s="83"/>
      <c r="F974" s="83"/>
      <c r="G974" s="83"/>
      <c r="H974" s="83"/>
      <c r="I974" s="83"/>
      <c r="J974" s="83"/>
      <c r="L974" s="28"/>
    </row>
    <row r="975" spans="5:12" ht="15.75" customHeight="1" x14ac:dyDescent="0.2">
      <c r="E975" s="83"/>
      <c r="F975" s="83"/>
      <c r="G975" s="83"/>
      <c r="H975" s="83"/>
      <c r="I975" s="83"/>
      <c r="J975" s="83"/>
      <c r="L975" s="28"/>
    </row>
    <row r="976" spans="5:12" ht="15.75" customHeight="1" x14ac:dyDescent="0.2">
      <c r="E976" s="83"/>
      <c r="F976" s="83"/>
      <c r="G976" s="83"/>
      <c r="H976" s="83"/>
      <c r="I976" s="83"/>
      <c r="J976" s="83"/>
      <c r="L976" s="28"/>
    </row>
    <row r="977" spans="5:12" ht="15.75" customHeight="1" x14ac:dyDescent="0.2">
      <c r="E977" s="83"/>
      <c r="F977" s="83"/>
      <c r="G977" s="83"/>
      <c r="H977" s="83"/>
      <c r="I977" s="83"/>
      <c r="J977" s="83"/>
      <c r="L977" s="28"/>
    </row>
    <row r="978" spans="5:12" ht="15.75" customHeight="1" x14ac:dyDescent="0.2">
      <c r="E978" s="83"/>
      <c r="F978" s="83"/>
      <c r="G978" s="83"/>
      <c r="H978" s="83"/>
      <c r="I978" s="83"/>
      <c r="J978" s="83"/>
      <c r="L978" s="28"/>
    </row>
    <row r="979" spans="5:12" ht="15.75" customHeight="1" x14ac:dyDescent="0.2">
      <c r="E979" s="83"/>
      <c r="F979" s="83"/>
      <c r="G979" s="83"/>
      <c r="H979" s="83"/>
      <c r="I979" s="83"/>
      <c r="J979" s="83"/>
      <c r="L979" s="28"/>
    </row>
    <row r="980" spans="5:12" ht="15.75" customHeight="1" x14ac:dyDescent="0.2">
      <c r="E980" s="83"/>
      <c r="F980" s="83"/>
      <c r="G980" s="83"/>
      <c r="H980" s="83"/>
      <c r="I980" s="83"/>
      <c r="J980" s="83"/>
      <c r="L980" s="28"/>
    </row>
    <row r="981" spans="5:12" ht="15.75" customHeight="1" x14ac:dyDescent="0.2">
      <c r="E981" s="83"/>
      <c r="F981" s="83"/>
      <c r="G981" s="83"/>
      <c r="H981" s="83"/>
      <c r="I981" s="83"/>
      <c r="J981" s="83"/>
      <c r="L981" s="28"/>
    </row>
    <row r="982" spans="5:12" ht="15.75" customHeight="1" x14ac:dyDescent="0.2">
      <c r="E982" s="83"/>
      <c r="F982" s="83"/>
      <c r="G982" s="83"/>
      <c r="H982" s="83"/>
      <c r="I982" s="83"/>
      <c r="J982" s="83"/>
      <c r="L982" s="28"/>
    </row>
    <row r="983" spans="5:12" ht="15.75" customHeight="1" x14ac:dyDescent="0.2">
      <c r="E983" s="83"/>
      <c r="F983" s="83"/>
      <c r="G983" s="83"/>
      <c r="H983" s="83"/>
      <c r="I983" s="83"/>
      <c r="J983" s="83"/>
      <c r="L983" s="28"/>
    </row>
    <row r="984" spans="5:12" ht="15.75" customHeight="1" x14ac:dyDescent="0.2">
      <c r="E984" s="83"/>
      <c r="F984" s="83"/>
      <c r="G984" s="83"/>
      <c r="H984" s="83"/>
      <c r="I984" s="83"/>
      <c r="J984" s="83"/>
      <c r="L984" s="28"/>
    </row>
    <row r="985" spans="5:12" ht="15.75" customHeight="1" x14ac:dyDescent="0.2">
      <c r="E985" s="83"/>
      <c r="F985" s="83"/>
      <c r="G985" s="83"/>
      <c r="H985" s="83"/>
      <c r="I985" s="83"/>
      <c r="J985" s="83"/>
      <c r="L985" s="28"/>
    </row>
    <row r="986" spans="5:12" ht="15.75" customHeight="1" x14ac:dyDescent="0.2">
      <c r="E986" s="83"/>
      <c r="F986" s="83"/>
      <c r="G986" s="83"/>
      <c r="H986" s="83"/>
      <c r="I986" s="83"/>
      <c r="J986" s="83"/>
      <c r="L986" s="28"/>
    </row>
    <row r="987" spans="5:12" ht="15.75" customHeight="1" x14ac:dyDescent="0.2">
      <c r="E987" s="83"/>
      <c r="F987" s="83"/>
      <c r="G987" s="83"/>
      <c r="H987" s="83"/>
      <c r="I987" s="83"/>
      <c r="J987" s="83"/>
      <c r="L987" s="28"/>
    </row>
    <row r="988" spans="5:12" ht="15.75" customHeight="1" x14ac:dyDescent="0.2">
      <c r="E988" s="83"/>
      <c r="F988" s="83"/>
      <c r="G988" s="83"/>
      <c r="H988" s="83"/>
      <c r="I988" s="83"/>
      <c r="J988" s="83"/>
      <c r="L988" s="28"/>
    </row>
    <row r="989" spans="5:12" ht="15.75" customHeight="1" x14ac:dyDescent="0.2">
      <c r="E989" s="83"/>
      <c r="F989" s="83"/>
      <c r="G989" s="83"/>
      <c r="H989" s="83"/>
      <c r="I989" s="83"/>
      <c r="J989" s="83"/>
      <c r="L989" s="28"/>
    </row>
    <row r="990" spans="5:12" ht="15.75" customHeight="1" x14ac:dyDescent="0.2">
      <c r="E990" s="83"/>
      <c r="F990" s="83"/>
      <c r="G990" s="83"/>
      <c r="H990" s="83"/>
      <c r="I990" s="83"/>
      <c r="J990" s="83"/>
      <c r="L990" s="28"/>
    </row>
    <row r="991" spans="5:12" ht="15.75" customHeight="1" x14ac:dyDescent="0.2">
      <c r="E991" s="83"/>
      <c r="F991" s="83"/>
      <c r="G991" s="83"/>
      <c r="H991" s="83"/>
      <c r="I991" s="83"/>
      <c r="J991" s="83"/>
      <c r="L991" s="28"/>
    </row>
    <row r="992" spans="5:12" ht="15.75" customHeight="1" x14ac:dyDescent="0.2">
      <c r="E992" s="83"/>
      <c r="F992" s="83"/>
      <c r="G992" s="83"/>
      <c r="H992" s="83"/>
      <c r="I992" s="83"/>
      <c r="J992" s="83"/>
      <c r="L992" s="28"/>
    </row>
    <row r="993" spans="5:12" ht="15.75" customHeight="1" x14ac:dyDescent="0.2">
      <c r="E993" s="83"/>
      <c r="F993" s="83"/>
      <c r="G993" s="83"/>
      <c r="H993" s="83"/>
      <c r="I993" s="83"/>
      <c r="J993" s="83"/>
      <c r="L993" s="28"/>
    </row>
  </sheetData>
  <pageMargins left="0.7" right="0.7" top="0.75" bottom="0.75" header="0.3" footer="0.3"/>
  <ignoredErrors>
    <ignoredError sqref="K48 K5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81E9E-92F2-014C-96F5-1A2E5A6045AF}">
  <dimension ref="A1:L38"/>
  <sheetViews>
    <sheetView tabSelected="1" zoomScale="183" workbookViewId="0">
      <selection activeCell="H10" sqref="H10"/>
    </sheetView>
  </sheetViews>
  <sheetFormatPr baseColWidth="10" defaultRowHeight="16" x14ac:dyDescent="0.2"/>
  <cols>
    <col min="1" max="1" width="26.83203125" bestFit="1" customWidth="1"/>
  </cols>
  <sheetData>
    <row r="1" spans="1:12" x14ac:dyDescent="0.2">
      <c r="A1" s="14" t="s">
        <v>0</v>
      </c>
      <c r="B1" s="15">
        <v>2025</v>
      </c>
      <c r="C1" s="15">
        <v>2026</v>
      </c>
      <c r="D1" s="15">
        <v>2027</v>
      </c>
      <c r="E1" s="15">
        <v>2028</v>
      </c>
      <c r="F1" s="15">
        <v>2029</v>
      </c>
    </row>
    <row r="2" spans="1:12" x14ac:dyDescent="0.2">
      <c r="A2" s="17" t="s">
        <v>127</v>
      </c>
      <c r="B2" s="138">
        <f>'Comprehensive Income '!H3*(1+Ratios!$K$40)</f>
        <v>1652.3924400000001</v>
      </c>
      <c r="C2" s="138">
        <f>B2*(1+Ratios!$K$40)</f>
        <v>1784.5838352000003</v>
      </c>
      <c r="D2" s="138">
        <f>C2*(1+Ratios!$K$40)</f>
        <v>1927.3505420160004</v>
      </c>
      <c r="E2" s="138">
        <f>D2*(1+Ratios!$K$40)</f>
        <v>2081.5385853772805</v>
      </c>
      <c r="F2" s="138">
        <f>E2*(1+Ratios!$K$40)</f>
        <v>2248.0616722074628</v>
      </c>
    </row>
    <row r="3" spans="1:12" x14ac:dyDescent="0.2">
      <c r="A3" s="17" t="s">
        <v>152</v>
      </c>
      <c r="B3" s="138">
        <f>-B2*(1-Ratios!$B$3)</f>
        <v>-1059.0012266313113</v>
      </c>
      <c r="C3" s="138">
        <f>-C2*(1-Ratios!$B$3)</f>
        <v>-1143.7213247618163</v>
      </c>
      <c r="D3" s="138">
        <f>-D2*(1-Ratios!$B$3)</f>
        <v>-1235.2190307427616</v>
      </c>
      <c r="E3" s="138">
        <f>-E2*(1-Ratios!$B$3)</f>
        <v>-1334.0365532021824</v>
      </c>
      <c r="F3" s="138">
        <f>-F2*(1-Ratios!$B$3)</f>
        <v>-1440.759477458357</v>
      </c>
    </row>
    <row r="4" spans="1:12" x14ac:dyDescent="0.2">
      <c r="A4" s="16" t="s">
        <v>5</v>
      </c>
      <c r="B4" s="139">
        <f>SUM(B2:B3)</f>
        <v>593.3912133686888</v>
      </c>
      <c r="C4" s="139">
        <f t="shared" ref="C4:F4" si="0">SUM(C2:C3)</f>
        <v>640.86251043818402</v>
      </c>
      <c r="D4" s="139">
        <f t="shared" si="0"/>
        <v>692.13151127323886</v>
      </c>
      <c r="E4" s="139">
        <f t="shared" si="0"/>
        <v>747.50203217509807</v>
      </c>
      <c r="F4" s="139">
        <f t="shared" si="0"/>
        <v>807.30219474910587</v>
      </c>
    </row>
    <row r="5" spans="1:12" x14ac:dyDescent="0.2">
      <c r="A5" s="17" t="s">
        <v>8</v>
      </c>
      <c r="B5" s="138">
        <f>-B2*Ratios!$K$41</f>
        <v>-345.8323586418046</v>
      </c>
      <c r="C5" s="138">
        <f>-C2*Ratios!$K$41</f>
        <v>-373.49894733314898</v>
      </c>
      <c r="D5" s="138">
        <f>-D2*Ratios!$K$41</f>
        <v>-403.37886311980094</v>
      </c>
      <c r="E5" s="138">
        <f>-E2*Ratios!$K$41</f>
        <v>-435.649172169385</v>
      </c>
      <c r="F5" s="138">
        <f>-F2*Ratios!$K$41</f>
        <v>-470.50110594293579</v>
      </c>
    </row>
    <row r="6" spans="1:12" x14ac:dyDescent="0.2">
      <c r="A6" s="16" t="s">
        <v>153</v>
      </c>
      <c r="B6" s="139">
        <f>SUM(B4:B5)</f>
        <v>247.55885472688419</v>
      </c>
      <c r="C6" s="139">
        <f t="shared" ref="C6:F6" si="1">SUM(C4:C5)</f>
        <v>267.36356310503504</v>
      </c>
      <c r="D6" s="139">
        <f t="shared" si="1"/>
        <v>288.75264815343792</v>
      </c>
      <c r="E6" s="139">
        <f t="shared" si="1"/>
        <v>311.85286000571307</v>
      </c>
      <c r="F6" s="139">
        <f t="shared" si="1"/>
        <v>336.80108880617007</v>
      </c>
    </row>
    <row r="7" spans="1:12" x14ac:dyDescent="0.2">
      <c r="A7" s="17" t="s">
        <v>7</v>
      </c>
      <c r="B7" s="138">
        <f>Ratios!$K$42-B23</f>
        <v>-50.928218760221093</v>
      </c>
      <c r="C7" s="138">
        <f>Ratios!$K$42-C23</f>
        <v>-55.013300261038786</v>
      </c>
      <c r="D7" s="138">
        <f>Ratios!$K$42-D23</f>
        <v>-59.425188281921898</v>
      </c>
      <c r="E7" s="138">
        <f>Ratios!$K$42-E23</f>
        <v>-64.190027344475652</v>
      </c>
      <c r="F7" s="138">
        <f>Ratios!$K$42-F23</f>
        <v>-69.336053532033702</v>
      </c>
    </row>
    <row r="8" spans="1:12" x14ac:dyDescent="0.2">
      <c r="A8" s="16" t="s">
        <v>9</v>
      </c>
      <c r="B8" s="140">
        <f>SUM(B6:B7)</f>
        <v>196.63063596666311</v>
      </c>
      <c r="C8" s="140">
        <f t="shared" ref="C8:F8" si="2">SUM(C6:C7)</f>
        <v>212.35026284399626</v>
      </c>
      <c r="D8" s="140">
        <f t="shared" si="2"/>
        <v>229.32745987151603</v>
      </c>
      <c r="E8" s="140">
        <f t="shared" si="2"/>
        <v>247.66283266123742</v>
      </c>
      <c r="F8" s="140">
        <f t="shared" si="2"/>
        <v>267.46503527413637</v>
      </c>
    </row>
    <row r="9" spans="1:12" x14ac:dyDescent="0.2">
      <c r="A9" s="17" t="s">
        <v>154</v>
      </c>
      <c r="B9" s="138">
        <f>-B31*Ratios!$K$36</f>
        <v>-10.747521799513001</v>
      </c>
      <c r="C9" s="138">
        <f>-C31*Ratios!$K$36</f>
        <v>-11.17742267149352</v>
      </c>
      <c r="D9" s="138">
        <f>-D31*Ratios!$K$36</f>
        <v>-11.624519578353262</v>
      </c>
      <c r="E9" s="138">
        <f>-E31*Ratios!$K$36</f>
        <v>-12.089500361487392</v>
      </c>
      <c r="F9" s="138">
        <f>-F31*Ratios!$K$36</f>
        <v>-12.573080375946889</v>
      </c>
    </row>
    <row r="10" spans="1:12" x14ac:dyDescent="0.2">
      <c r="A10" s="16" t="s">
        <v>155</v>
      </c>
      <c r="B10" s="140">
        <f>SUM(B8:B9)</f>
        <v>185.8831141671501</v>
      </c>
      <c r="C10" s="140">
        <f t="shared" ref="C10:F10" si="3">SUM(C8:C9)</f>
        <v>201.17284017250273</v>
      </c>
      <c r="D10" s="140">
        <f t="shared" si="3"/>
        <v>217.70294029316275</v>
      </c>
      <c r="E10" s="140">
        <f t="shared" si="3"/>
        <v>235.57333229975004</v>
      </c>
      <c r="F10" s="140">
        <f t="shared" si="3"/>
        <v>254.89195489818948</v>
      </c>
    </row>
    <row r="11" spans="1:12" x14ac:dyDescent="0.2">
      <c r="A11" s="17" t="s">
        <v>156</v>
      </c>
      <c r="B11" s="138">
        <f>-B10*Ratios!$K$37</f>
        <v>-53.070042010631688</v>
      </c>
      <c r="C11" s="138">
        <f>-C10*Ratios!$K$37</f>
        <v>-57.435292749359149</v>
      </c>
      <c r="D11" s="138">
        <f>-D10*Ratios!$K$37</f>
        <v>-62.154673053341632</v>
      </c>
      <c r="E11" s="138">
        <f>-E10*Ratios!$K$37</f>
        <v>-67.256709668045843</v>
      </c>
      <c r="F11" s="138">
        <f>-F10*Ratios!$K$37</f>
        <v>-72.772219333785586</v>
      </c>
    </row>
    <row r="12" spans="1:12" ht="17" thickBot="1" x14ac:dyDescent="0.25">
      <c r="A12" s="16" t="s">
        <v>13</v>
      </c>
      <c r="B12" s="141">
        <f>SUM(B10:B11)</f>
        <v>132.81307215651842</v>
      </c>
      <c r="C12" s="141">
        <f t="shared" ref="C12:F12" si="4">SUM(C10:C11)</f>
        <v>143.73754742314358</v>
      </c>
      <c r="D12" s="141">
        <f t="shared" si="4"/>
        <v>155.54826723982112</v>
      </c>
      <c r="E12" s="141">
        <f t="shared" si="4"/>
        <v>168.31662263170421</v>
      </c>
      <c r="F12" s="141">
        <f t="shared" si="4"/>
        <v>182.1197355644039</v>
      </c>
    </row>
    <row r="13" spans="1:12" ht="17" thickTop="1" x14ac:dyDescent="0.2">
      <c r="A13" s="17" t="s">
        <v>9</v>
      </c>
      <c r="B13" s="138">
        <f>B8</f>
        <v>196.63063596666311</v>
      </c>
      <c r="C13" s="138">
        <f t="shared" ref="C13:F13" si="5">C8</f>
        <v>212.35026284399626</v>
      </c>
      <c r="D13" s="138">
        <f t="shared" si="5"/>
        <v>229.32745987151603</v>
      </c>
      <c r="E13" s="138">
        <f t="shared" si="5"/>
        <v>247.66283266123742</v>
      </c>
      <c r="F13" s="138">
        <f t="shared" si="5"/>
        <v>267.46503527413637</v>
      </c>
    </row>
    <row r="14" spans="1:12" x14ac:dyDescent="0.2">
      <c r="A14" s="16" t="s">
        <v>157</v>
      </c>
      <c r="B14" s="138">
        <f>B11-B17</f>
        <v>-56.138483358657766</v>
      </c>
      <c r="C14" s="138">
        <f t="shared" ref="C14:F14" si="6">C11-C17</f>
        <v>-60.626471751306269</v>
      </c>
      <c r="D14" s="138">
        <f t="shared" si="6"/>
        <v>-65.47349921536663</v>
      </c>
      <c r="E14" s="138">
        <f t="shared" si="6"/>
        <v>-70.708288876551848</v>
      </c>
      <c r="F14" s="138">
        <f t="shared" si="6"/>
        <v>-76.361861710631828</v>
      </c>
    </row>
    <row r="15" spans="1:12" x14ac:dyDescent="0.2">
      <c r="A15" s="16" t="s">
        <v>158</v>
      </c>
      <c r="B15" s="139">
        <f>SUM(B13:B14)</f>
        <v>140.49215260800534</v>
      </c>
      <c r="C15" s="139">
        <f t="shared" ref="C15:F15" si="7">SUM(C13:C14)</f>
        <v>151.72379109268999</v>
      </c>
      <c r="D15" s="139">
        <f t="shared" si="7"/>
        <v>163.85396065614941</v>
      </c>
      <c r="E15" s="139">
        <f t="shared" si="7"/>
        <v>176.95454378468557</v>
      </c>
      <c r="F15" s="139">
        <f t="shared" si="7"/>
        <v>191.10317356350453</v>
      </c>
      <c r="G15" s="45"/>
      <c r="H15" s="45"/>
      <c r="I15" s="45"/>
      <c r="J15" s="45"/>
      <c r="K15" s="45"/>
      <c r="L15" s="45"/>
    </row>
    <row r="16" spans="1:12" x14ac:dyDescent="0.2">
      <c r="A16" s="17" t="s">
        <v>154</v>
      </c>
      <c r="B16" s="138">
        <f>B9</f>
        <v>-10.747521799513001</v>
      </c>
      <c r="C16" s="138">
        <f t="shared" ref="C16:F16" si="8">C9</f>
        <v>-11.17742267149352</v>
      </c>
      <c r="D16" s="138">
        <f t="shared" si="8"/>
        <v>-11.624519578353262</v>
      </c>
      <c r="E16" s="138">
        <f t="shared" si="8"/>
        <v>-12.089500361487392</v>
      </c>
      <c r="F16" s="138">
        <f t="shared" si="8"/>
        <v>-12.573080375946889</v>
      </c>
      <c r="H16" t="s">
        <v>123</v>
      </c>
    </row>
    <row r="17" spans="1:6" x14ac:dyDescent="0.2">
      <c r="A17" s="17" t="s">
        <v>159</v>
      </c>
      <c r="B17" s="138">
        <f>-B16*Ratios!$K$37</f>
        <v>3.068441348026075</v>
      </c>
      <c r="C17" s="138">
        <f>-C16*Ratios!$K$37</f>
        <v>3.191179001947118</v>
      </c>
      <c r="D17" s="138">
        <f>-D16*Ratios!$K$37</f>
        <v>3.3188261620250028</v>
      </c>
      <c r="E17" s="138">
        <f>-E16*Ratios!$K$37</f>
        <v>3.4515792085060029</v>
      </c>
      <c r="F17" s="138">
        <f>-F16*Ratios!$K$37</f>
        <v>3.5896423768462435</v>
      </c>
    </row>
    <row r="18" spans="1:6" x14ac:dyDescent="0.2">
      <c r="A18" s="16" t="s">
        <v>160</v>
      </c>
      <c r="B18" s="139">
        <f>-SUM(B16:B17)</f>
        <v>7.6790804514869251</v>
      </c>
      <c r="C18" s="139">
        <f t="shared" ref="C18:F18" si="9">-SUM(C16:C17)</f>
        <v>7.9862436695464023</v>
      </c>
      <c r="D18" s="139">
        <f t="shared" si="9"/>
        <v>8.3056934163282587</v>
      </c>
      <c r="E18" s="139">
        <f t="shared" si="9"/>
        <v>8.6379211529813897</v>
      </c>
      <c r="F18" s="139">
        <f t="shared" si="9"/>
        <v>8.9834379991006443</v>
      </c>
    </row>
    <row r="19" spans="1:6" x14ac:dyDescent="0.2">
      <c r="B19" s="103"/>
      <c r="C19" s="103"/>
      <c r="D19" s="103"/>
      <c r="E19" s="103"/>
      <c r="F19" s="103"/>
    </row>
    <row r="20" spans="1:6" x14ac:dyDescent="0.2">
      <c r="A20" s="130" t="s">
        <v>0</v>
      </c>
      <c r="B20" s="15">
        <v>2025</v>
      </c>
      <c r="C20" s="15">
        <v>2026</v>
      </c>
      <c r="D20" s="15">
        <v>2027</v>
      </c>
      <c r="E20" s="15">
        <v>2028</v>
      </c>
      <c r="F20" s="15">
        <v>2029</v>
      </c>
    </row>
    <row r="21" spans="1:6" x14ac:dyDescent="0.2">
      <c r="A21" s="131" t="s">
        <v>19</v>
      </c>
      <c r="B21" s="142">
        <f>B2*Ratios!$K$44</f>
        <v>270.88474617707226</v>
      </c>
      <c r="C21" s="142">
        <f>C2*Ratios!$K$44</f>
        <v>292.55552587123805</v>
      </c>
      <c r="D21" s="142">
        <f>D2*Ratios!$K$44</f>
        <v>315.95996794093713</v>
      </c>
      <c r="E21" s="142">
        <f>E2*Ratios!$K$44</f>
        <v>341.23676537621213</v>
      </c>
      <c r="F21" s="142">
        <f>F2*Ratios!$K$44</f>
        <v>368.53570660630908</v>
      </c>
    </row>
    <row r="22" spans="1:6" x14ac:dyDescent="0.2">
      <c r="A22" s="132" t="s">
        <v>20</v>
      </c>
      <c r="B22" s="142">
        <f>B2*Ratios!$K$46</f>
        <v>360.60351692787242</v>
      </c>
      <c r="C22" s="142">
        <f>C2*Ratios!$K$46</f>
        <v>389.45179828210229</v>
      </c>
      <c r="D22" s="142">
        <f>D2*Ratios!$K$46</f>
        <v>420.60794214467046</v>
      </c>
      <c r="E22" s="142">
        <f>E2*Ratios!$K$46</f>
        <v>454.25657751624414</v>
      </c>
      <c r="F22" s="142">
        <f>F2*Ratios!$K$46</f>
        <v>490.59710371754363</v>
      </c>
    </row>
    <row r="23" spans="1:6" x14ac:dyDescent="0.2">
      <c r="A23" s="132" t="s">
        <v>161</v>
      </c>
      <c r="B23" s="142">
        <f>B2*Ratios!$K$48</f>
        <v>51.063518760221093</v>
      </c>
      <c r="C23" s="142">
        <f>C2*Ratios!$K$48</f>
        <v>55.148600261038787</v>
      </c>
      <c r="D23" s="142">
        <f>D2*Ratios!$K$48</f>
        <v>59.560488281921899</v>
      </c>
      <c r="E23" s="142">
        <f>E2*Ratios!$K$48</f>
        <v>64.325327344475653</v>
      </c>
      <c r="F23" s="142">
        <f>F2*Ratios!$K$48</f>
        <v>69.471353532033703</v>
      </c>
    </row>
    <row r="24" spans="1:6" x14ac:dyDescent="0.2">
      <c r="A24" s="132" t="s">
        <v>25</v>
      </c>
      <c r="B24" s="142">
        <f>B2*Ratios!$K$49</f>
        <v>325.46712001068425</v>
      </c>
      <c r="C24" s="142">
        <f>C2*Ratios!$K$49</f>
        <v>351.50448961153904</v>
      </c>
      <c r="D24" s="142">
        <f>D2*Ratios!$K$49</f>
        <v>379.62484878046217</v>
      </c>
      <c r="E24" s="142">
        <f>E2*Ratios!$K$49</f>
        <v>409.99483668289918</v>
      </c>
      <c r="F24" s="142">
        <f>F2*Ratios!$K$49</f>
        <v>442.79442361753109</v>
      </c>
    </row>
    <row r="25" spans="1:6" x14ac:dyDescent="0.2">
      <c r="A25" s="133" t="s">
        <v>162</v>
      </c>
      <c r="B25" s="142">
        <f>SUM(B21:B24)</f>
        <v>1008.0189018758501</v>
      </c>
      <c r="C25" s="142">
        <f t="shared" ref="C25:F25" si="10">SUM(C21:C24)</f>
        <v>1088.6604140259183</v>
      </c>
      <c r="D25" s="142">
        <f t="shared" si="10"/>
        <v>1175.7532471479917</v>
      </c>
      <c r="E25" s="142">
        <f t="shared" si="10"/>
        <v>1269.8135069198311</v>
      </c>
      <c r="F25" s="142">
        <f t="shared" si="10"/>
        <v>1371.3985874734176</v>
      </c>
    </row>
    <row r="26" spans="1:6" x14ac:dyDescent="0.2">
      <c r="A26" s="132" t="s">
        <v>32</v>
      </c>
      <c r="B26" s="142">
        <f>B2*Ratios!$K$45</f>
        <v>266.78599516557961</v>
      </c>
      <c r="C26" s="142">
        <f>C2*Ratios!$K$45</f>
        <v>288.128874778826</v>
      </c>
      <c r="D26" s="142">
        <f>D2*Ratios!$K$45</f>
        <v>311.17918476113209</v>
      </c>
      <c r="E26" s="142">
        <f>E2*Ratios!$K$45</f>
        <v>336.07351954202267</v>
      </c>
      <c r="F26" s="142">
        <f>F2*Ratios!$K$45</f>
        <v>362.95940110538447</v>
      </c>
    </row>
    <row r="27" spans="1:6" x14ac:dyDescent="0.2">
      <c r="A27" s="133" t="s">
        <v>163</v>
      </c>
      <c r="B27" s="143">
        <f>SUM(B26)</f>
        <v>266.78599516557961</v>
      </c>
      <c r="C27" s="143">
        <f t="shared" ref="C27:F27" si="11">SUM(C26)</f>
        <v>288.128874778826</v>
      </c>
      <c r="D27" s="143">
        <f t="shared" si="11"/>
        <v>311.17918476113209</v>
      </c>
      <c r="E27" s="143">
        <f t="shared" si="11"/>
        <v>336.07351954202267</v>
      </c>
      <c r="F27" s="143">
        <f t="shared" si="11"/>
        <v>362.95940110538447</v>
      </c>
    </row>
    <row r="28" spans="1:6" x14ac:dyDescent="0.2">
      <c r="A28" s="133" t="s">
        <v>164</v>
      </c>
      <c r="B28" s="143">
        <f>B25-B27</f>
        <v>741.23290671027053</v>
      </c>
      <c r="C28" s="143">
        <f t="shared" ref="C28:F28" si="12">C25-C27</f>
        <v>800.53153924709227</v>
      </c>
      <c r="D28" s="143">
        <f t="shared" si="12"/>
        <v>864.57406238685962</v>
      </c>
      <c r="E28" s="143">
        <f t="shared" si="12"/>
        <v>933.73998737780835</v>
      </c>
      <c r="F28" s="143">
        <f t="shared" si="12"/>
        <v>1008.4391863680331</v>
      </c>
    </row>
    <row r="29" spans="1:6" x14ac:dyDescent="0.2">
      <c r="A29" s="131" t="s">
        <v>18</v>
      </c>
      <c r="B29" s="142">
        <f>B2*Ratios!$K$43</f>
        <v>180.73987963134201</v>
      </c>
      <c r="C29" s="142">
        <f>C2*Ratios!$K$43</f>
        <v>195.19907000184938</v>
      </c>
      <c r="D29" s="142">
        <f>D2*Ratios!$K$43</f>
        <v>210.81499560199734</v>
      </c>
      <c r="E29" s="142">
        <f>E2*Ratios!$K$43</f>
        <v>227.68019525015714</v>
      </c>
      <c r="F29" s="142">
        <f>F2*Ratios!$K$43</f>
        <v>245.89461087016969</v>
      </c>
    </row>
    <row r="30" spans="1:6" x14ac:dyDescent="0.2">
      <c r="A30" s="132" t="s">
        <v>165</v>
      </c>
      <c r="B30" s="142">
        <f>B2*Ratios!$K$51</f>
        <v>4.8610800000000003</v>
      </c>
      <c r="C30" s="142">
        <f>C2*Ratios!$K$51</f>
        <v>5.2499664000000008</v>
      </c>
      <c r="D30" s="142">
        <f>D2*Ratios!$K$51</f>
        <v>5.6699637120000013</v>
      </c>
      <c r="E30" s="142">
        <f>E2*Ratios!$K$51</f>
        <v>6.1235608089600015</v>
      </c>
      <c r="F30" s="142">
        <f>F2*Ratios!$K$51</f>
        <v>6.6134456736768019</v>
      </c>
    </row>
    <row r="31" spans="1:6" x14ac:dyDescent="0.2">
      <c r="A31" s="131" t="s">
        <v>166</v>
      </c>
      <c r="B31" s="142">
        <v>159.11927200000002</v>
      </c>
      <c r="C31" s="142">
        <v>165.48404288000003</v>
      </c>
      <c r="D31" s="142">
        <v>172.10340459520003</v>
      </c>
      <c r="E31" s="142">
        <v>178.98754077900804</v>
      </c>
      <c r="F31" s="142">
        <v>186.14704241016838</v>
      </c>
    </row>
    <row r="32" spans="1:6" x14ac:dyDescent="0.2">
      <c r="A32" s="131" t="s">
        <v>33</v>
      </c>
      <c r="B32" s="142">
        <f>B2*Ratios!$K$50</f>
        <v>16.580894421557595</v>
      </c>
      <c r="C32" s="142">
        <f>C2*Ratios!$K$50</f>
        <v>17.907365975282204</v>
      </c>
      <c r="D32" s="142">
        <f>D2*Ratios!$K$50</f>
        <v>19.33995525330478</v>
      </c>
      <c r="E32" s="142">
        <f>E2*Ratios!$K$50</f>
        <v>20.887151673569164</v>
      </c>
      <c r="F32" s="142">
        <f>F2*Ratios!$K$50</f>
        <v>22.558123807454695</v>
      </c>
    </row>
    <row r="33" spans="1:7" x14ac:dyDescent="0.2">
      <c r="A33" s="133" t="s">
        <v>167</v>
      </c>
      <c r="B33" s="142">
        <f>SUM(B31:B32)-SUM(B29:B30)</f>
        <v>-9.900793209784382</v>
      </c>
      <c r="C33" s="142">
        <f t="shared" ref="C33:F33" si="13">SUM(C31:C32)-SUM(C29:C30)</f>
        <v>-17.057627546567147</v>
      </c>
      <c r="D33" s="142">
        <f t="shared" si="13"/>
        <v>-25.04159946549251</v>
      </c>
      <c r="E33" s="142">
        <f t="shared" si="13"/>
        <v>-33.929063606539927</v>
      </c>
      <c r="F33" s="142">
        <f t="shared" si="13"/>
        <v>-43.802890326223405</v>
      </c>
    </row>
    <row r="35" spans="1:7" x14ac:dyDescent="0.2">
      <c r="G35" s="107"/>
    </row>
    <row r="36" spans="1:7" x14ac:dyDescent="0.2">
      <c r="G36" s="107"/>
    </row>
    <row r="38" spans="1:7" x14ac:dyDescent="0.2">
      <c r="C38" s="106"/>
      <c r="E38" s="106"/>
    </row>
  </sheetData>
  <pageMargins left="0.7" right="0.7" top="0.75" bottom="0.75" header="0.3" footer="0.3"/>
  <ignoredErrors>
    <ignoredError sqref="B5:F6 B10:F11 B8:F8 B9 C9:F9 B7:F7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1D11E-985F-CF44-B2E6-03ED23D77C2D}">
  <dimension ref="A1:AE1000"/>
  <sheetViews>
    <sheetView zoomScale="233" workbookViewId="0">
      <selection activeCell="J14" sqref="J14"/>
    </sheetView>
  </sheetViews>
  <sheetFormatPr baseColWidth="10" defaultColWidth="12.6640625" defaultRowHeight="16" x14ac:dyDescent="0.2"/>
  <cols>
    <col min="1" max="1" width="18.6640625" customWidth="1"/>
    <col min="2" max="2" width="5.1640625" hidden="1" customWidth="1"/>
    <col min="3" max="7" width="5.1640625" bestFit="1" customWidth="1"/>
    <col min="8" max="8" width="5.33203125" bestFit="1" customWidth="1"/>
    <col min="9" max="9" width="6.5" bestFit="1" customWidth="1"/>
    <col min="10" max="31" width="7.6640625" customWidth="1"/>
  </cols>
  <sheetData>
    <row r="1" spans="1:31" x14ac:dyDescent="0.2">
      <c r="A1" s="57" t="s">
        <v>0</v>
      </c>
      <c r="B1" s="57">
        <v>2018</v>
      </c>
      <c r="C1" s="57">
        <v>2019</v>
      </c>
      <c r="D1" s="57">
        <v>2020</v>
      </c>
      <c r="E1" s="57">
        <v>2021</v>
      </c>
      <c r="F1" s="57">
        <v>2022</v>
      </c>
      <c r="G1" s="57">
        <v>2023</v>
      </c>
      <c r="H1" s="57">
        <v>2024</v>
      </c>
      <c r="I1" s="15" t="s">
        <v>1502</v>
      </c>
      <c r="J1" s="15" t="s">
        <v>1503</v>
      </c>
      <c r="K1" s="15" t="s">
        <v>1504</v>
      </c>
      <c r="L1" s="15" t="s">
        <v>1505</v>
      </c>
      <c r="M1" s="15" t="s">
        <v>1512</v>
      </c>
    </row>
    <row r="2" spans="1:31" x14ac:dyDescent="0.2">
      <c r="A2" s="61" t="s">
        <v>19</v>
      </c>
      <c r="B2" s="159">
        <f>'Balance Sheet '!B4</f>
        <v>104.42</v>
      </c>
      <c r="C2" s="159">
        <f>'Balance Sheet '!C4</f>
        <v>154.595</v>
      </c>
      <c r="D2" s="159">
        <f>'Balance Sheet '!D4</f>
        <v>156.10599999999999</v>
      </c>
      <c r="E2" s="159">
        <f>'Balance Sheet '!E4</f>
        <v>119.33499999999999</v>
      </c>
      <c r="F2" s="159">
        <f>'Balance Sheet '!F4</f>
        <v>194.202</v>
      </c>
      <c r="G2" s="159">
        <f>'Balance Sheet '!G4</f>
        <v>276.75299999999999</v>
      </c>
      <c r="H2" s="159">
        <f>'Balance Sheet '!H4</f>
        <v>282.017</v>
      </c>
      <c r="I2" s="172">
        <f>'Forecasting '!B21</f>
        <v>270.88474617707226</v>
      </c>
      <c r="J2" s="172">
        <f>'Forecasting '!C21</f>
        <v>292.55552587123805</v>
      </c>
      <c r="K2" s="172">
        <f>'Forecasting '!D21</f>
        <v>315.95996794093713</v>
      </c>
      <c r="L2" s="172">
        <f>'Forecasting '!E21</f>
        <v>341.23676537621213</v>
      </c>
      <c r="M2" s="172">
        <f>'Forecasting '!F21</f>
        <v>368.53570660630908</v>
      </c>
    </row>
    <row r="3" spans="1:31" x14ac:dyDescent="0.2">
      <c r="A3" s="173" t="s">
        <v>1506</v>
      </c>
      <c r="B3" s="178"/>
      <c r="C3" s="178">
        <f>C2-B2</f>
        <v>50.174999999999997</v>
      </c>
      <c r="D3" s="178">
        <f t="shared" ref="D3:H3" si="0">D2-C2</f>
        <v>1.5109999999999957</v>
      </c>
      <c r="E3" s="178">
        <f t="shared" si="0"/>
        <v>-36.771000000000001</v>
      </c>
      <c r="F3" s="178">
        <f t="shared" si="0"/>
        <v>74.867000000000004</v>
      </c>
      <c r="G3" s="178">
        <f t="shared" si="0"/>
        <v>82.550999999999988</v>
      </c>
      <c r="H3" s="178">
        <f t="shared" si="0"/>
        <v>5.26400000000001</v>
      </c>
      <c r="I3" s="174">
        <f>I2-H2</f>
        <v>-11.132253822927737</v>
      </c>
      <c r="J3" s="174">
        <f t="shared" ref="J3:M3" si="1">J2-I2</f>
        <v>21.670779694165788</v>
      </c>
      <c r="K3" s="174">
        <f t="shared" si="1"/>
        <v>23.404442069699087</v>
      </c>
      <c r="L3" s="174">
        <f t="shared" si="1"/>
        <v>25.276797435275</v>
      </c>
      <c r="M3" s="174">
        <f t="shared" si="1"/>
        <v>27.298941230096943</v>
      </c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</row>
    <row r="4" spans="1:31" x14ac:dyDescent="0.2">
      <c r="A4" s="61" t="s">
        <v>1507</v>
      </c>
      <c r="B4" s="159">
        <f>'Balance Sheet '!B5</f>
        <v>99.668999999999997</v>
      </c>
      <c r="C4" s="159">
        <f>'Balance Sheet '!C5</f>
        <v>152.32499999999999</v>
      </c>
      <c r="D4" s="159">
        <f>'Balance Sheet '!D5</f>
        <v>153.73400000000001</v>
      </c>
      <c r="E4" s="159">
        <f>'Balance Sheet '!E5</f>
        <v>216.67</v>
      </c>
      <c r="F4" s="159">
        <f>'Balance Sheet '!F5</f>
        <v>445.88400000000001</v>
      </c>
      <c r="G4" s="159">
        <f>'Balance Sheet '!G5</f>
        <v>439.63299999999998</v>
      </c>
      <c r="H4" s="159">
        <f>'Balance Sheet '!H5</f>
        <v>332.79</v>
      </c>
      <c r="I4" s="172">
        <f>'Forecasting '!B22</f>
        <v>360.60351692787242</v>
      </c>
      <c r="J4" s="172">
        <f>'Forecasting '!C22</f>
        <v>389.45179828210229</v>
      </c>
      <c r="K4" s="172">
        <f>'Forecasting '!D22</f>
        <v>420.60794214467046</v>
      </c>
      <c r="L4" s="172">
        <f>'Forecasting '!E22</f>
        <v>454.25657751624414</v>
      </c>
      <c r="M4" s="172">
        <f>'Forecasting '!F22</f>
        <v>490.59710371754363</v>
      </c>
    </row>
    <row r="5" spans="1:31" x14ac:dyDescent="0.2">
      <c r="A5" s="173" t="s">
        <v>1508</v>
      </c>
      <c r="B5" s="178"/>
      <c r="C5" s="178">
        <f>C4-B4</f>
        <v>52.655999999999992</v>
      </c>
      <c r="D5" s="178">
        <f t="shared" ref="D5:H5" si="2">D4-C4</f>
        <v>1.4090000000000202</v>
      </c>
      <c r="E5" s="178">
        <f t="shared" si="2"/>
        <v>62.935999999999979</v>
      </c>
      <c r="F5" s="178">
        <f t="shared" si="2"/>
        <v>229.21400000000003</v>
      </c>
      <c r="G5" s="178">
        <f t="shared" si="2"/>
        <v>-6.2510000000000332</v>
      </c>
      <c r="H5" s="178">
        <f t="shared" si="2"/>
        <v>-106.84299999999996</v>
      </c>
      <c r="I5" s="174">
        <f>I4-H4</f>
        <v>27.813516927872399</v>
      </c>
      <c r="J5" s="174">
        <f t="shared" ref="J5:M5" si="3">J4-I4</f>
        <v>28.848281354229869</v>
      </c>
      <c r="K5" s="174">
        <f t="shared" si="3"/>
        <v>31.156143862568172</v>
      </c>
      <c r="L5" s="174">
        <f t="shared" si="3"/>
        <v>33.648635371573675</v>
      </c>
      <c r="M5" s="174">
        <f t="shared" si="3"/>
        <v>36.340526201299497</v>
      </c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</row>
    <row r="6" spans="1:31" x14ac:dyDescent="0.2">
      <c r="A6" s="61" t="s">
        <v>32</v>
      </c>
      <c r="B6" s="159">
        <f>'Balance Sheet '!B17</f>
        <v>84.584999999999994</v>
      </c>
      <c r="C6" s="159">
        <f>'Balance Sheet '!C17</f>
        <v>122.7</v>
      </c>
      <c r="D6" s="159">
        <f>'Balance Sheet '!D17</f>
        <v>147.89099999999999</v>
      </c>
      <c r="E6" s="159">
        <f>'Balance Sheet '!E17</f>
        <v>175.79599999999999</v>
      </c>
      <c r="F6" s="159">
        <f>'Balance Sheet '!F17</f>
        <v>292.27199999999999</v>
      </c>
      <c r="G6" s="159">
        <f>'Balance Sheet '!G17</f>
        <v>261.33600000000001</v>
      </c>
      <c r="H6" s="159">
        <f>'Balance Sheet '!H17</f>
        <v>273.26900000000001</v>
      </c>
      <c r="I6" s="172">
        <f>'Forecasting '!B26</f>
        <v>266.78599516557961</v>
      </c>
      <c r="J6" s="172">
        <f>'Forecasting '!C26</f>
        <v>288.128874778826</v>
      </c>
      <c r="K6" s="172">
        <f>'Forecasting '!D26</f>
        <v>311.17918476113209</v>
      </c>
      <c r="L6" s="172">
        <f>'Forecasting '!E26</f>
        <v>336.07351954202267</v>
      </c>
      <c r="M6" s="172">
        <f>'Forecasting '!F26</f>
        <v>362.95940110538447</v>
      </c>
    </row>
    <row r="7" spans="1:31" x14ac:dyDescent="0.2">
      <c r="A7" s="173" t="s">
        <v>1509</v>
      </c>
      <c r="B7" s="178"/>
      <c r="C7" s="178">
        <f>C6-B6</f>
        <v>38.115000000000009</v>
      </c>
      <c r="D7" s="178">
        <f t="shared" ref="D7:H7" si="4">D6-C6</f>
        <v>25.190999999999988</v>
      </c>
      <c r="E7" s="178">
        <f t="shared" si="4"/>
        <v>27.905000000000001</v>
      </c>
      <c r="F7" s="178">
        <f t="shared" si="4"/>
        <v>116.476</v>
      </c>
      <c r="G7" s="178">
        <f t="shared" si="4"/>
        <v>-30.935999999999979</v>
      </c>
      <c r="H7" s="178">
        <f t="shared" si="4"/>
        <v>11.932999999999993</v>
      </c>
      <c r="I7" s="174">
        <f>I6-H6</f>
        <v>-6.4830048344203988</v>
      </c>
      <c r="J7" s="174">
        <f t="shared" ref="J7:M7" si="5">J6-I6</f>
        <v>21.342879613246396</v>
      </c>
      <c r="K7" s="174">
        <f t="shared" si="5"/>
        <v>23.050309982306089</v>
      </c>
      <c r="L7" s="174">
        <f t="shared" si="5"/>
        <v>24.894334780890574</v>
      </c>
      <c r="M7" s="174">
        <f t="shared" si="5"/>
        <v>26.885881563361806</v>
      </c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</row>
    <row r="8" spans="1:31" x14ac:dyDescent="0.2">
      <c r="A8" s="61" t="s">
        <v>34</v>
      </c>
      <c r="B8" s="159">
        <f>'Balance Sheet '!B19</f>
        <v>23.924999999999997</v>
      </c>
      <c r="C8" s="159">
        <f>'Balance Sheet '!C19</f>
        <v>20.236000000000001</v>
      </c>
      <c r="D8" s="159">
        <f>'Balance Sheet '!D19</f>
        <v>25.227999999999998</v>
      </c>
      <c r="E8" s="159">
        <f>'Balance Sheet '!E19</f>
        <v>35.453000000000003</v>
      </c>
      <c r="F8" s="159">
        <f>'Balance Sheet '!F19</f>
        <v>38.331000000000003</v>
      </c>
      <c r="G8" s="159">
        <f>'Balance Sheet '!G19</f>
        <v>35.984000000000002</v>
      </c>
      <c r="H8" s="159">
        <f>'Balance Sheet '!H19</f>
        <v>39.713000000000001</v>
      </c>
      <c r="I8" s="172">
        <f>Ratios!$K$47*'Forecasting '!B2</f>
        <v>46.569297455770133</v>
      </c>
      <c r="J8" s="172">
        <f>Ratios!$K$47*'Forecasting '!C2</f>
        <v>50.294841252231748</v>
      </c>
      <c r="K8" s="172">
        <f>Ratios!$K$47*'Forecasting '!D2</f>
        <v>54.318428552410289</v>
      </c>
      <c r="L8" s="172">
        <f>Ratios!$K$47*'Forecasting '!E2</f>
        <v>58.663902836603114</v>
      </c>
      <c r="M8" s="172">
        <f>Ratios!$K$47*'Forecasting '!F2</f>
        <v>63.357015063531364</v>
      </c>
    </row>
    <row r="9" spans="1:31" x14ac:dyDescent="0.2">
      <c r="A9" s="175" t="s">
        <v>1510</v>
      </c>
      <c r="B9" s="179"/>
      <c r="C9" s="179">
        <f>C8-B8</f>
        <v>-3.6889999999999965</v>
      </c>
      <c r="D9" s="179">
        <f t="shared" ref="D9:H9" si="6">D8-C8</f>
        <v>4.9919999999999973</v>
      </c>
      <c r="E9" s="179">
        <f t="shared" si="6"/>
        <v>10.225000000000005</v>
      </c>
      <c r="F9" s="179">
        <f t="shared" si="6"/>
        <v>2.8780000000000001</v>
      </c>
      <c r="G9" s="179">
        <f t="shared" si="6"/>
        <v>-2.3470000000000013</v>
      </c>
      <c r="H9" s="179">
        <f t="shared" si="6"/>
        <v>3.7289999999999992</v>
      </c>
      <c r="I9" s="176">
        <f>I8-H8</f>
        <v>6.8562974557701324</v>
      </c>
      <c r="J9" s="176">
        <f t="shared" ref="J9:M9" si="7">J8-I8</f>
        <v>3.7255437964616149</v>
      </c>
      <c r="K9" s="176">
        <f t="shared" si="7"/>
        <v>4.0235873001785407</v>
      </c>
      <c r="L9" s="176">
        <f t="shared" si="7"/>
        <v>4.3454742841928251</v>
      </c>
      <c r="M9" s="176">
        <f t="shared" si="7"/>
        <v>4.6931122269282497</v>
      </c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</row>
    <row r="10" spans="1:31" x14ac:dyDescent="0.2">
      <c r="A10" s="160" t="s">
        <v>1495</v>
      </c>
      <c r="B10" s="180"/>
      <c r="C10" s="180">
        <f>C3+C5-C7-C9</f>
        <v>68.404999999999973</v>
      </c>
      <c r="D10" s="180">
        <f t="shared" ref="D10:M10" si="8">D3+D5-D7-D9</f>
        <v>-27.26299999999997</v>
      </c>
      <c r="E10" s="180">
        <f t="shared" si="8"/>
        <v>-11.965000000000028</v>
      </c>
      <c r="F10" s="180">
        <f t="shared" si="8"/>
        <v>184.72700000000003</v>
      </c>
      <c r="G10" s="180">
        <f t="shared" si="8"/>
        <v>109.58299999999994</v>
      </c>
      <c r="H10" s="180">
        <f t="shared" si="8"/>
        <v>-117.24099999999994</v>
      </c>
      <c r="I10" s="177">
        <f>I3+I5-I7-I9</f>
        <v>16.307970483594929</v>
      </c>
      <c r="J10" s="177">
        <f t="shared" si="8"/>
        <v>25.450637638687645</v>
      </c>
      <c r="K10" s="177">
        <f t="shared" si="8"/>
        <v>27.486688649782629</v>
      </c>
      <c r="L10" s="177">
        <f t="shared" si="8"/>
        <v>29.685623741765276</v>
      </c>
      <c r="M10" s="177">
        <f t="shared" si="8"/>
        <v>32.060473641106384</v>
      </c>
    </row>
    <row r="11" spans="1:31" x14ac:dyDescent="0.2">
      <c r="A11" s="61" t="s">
        <v>1511</v>
      </c>
      <c r="B11" s="159"/>
      <c r="C11" s="159">
        <f>C2+C4-C6-C8</f>
        <v>163.98399999999998</v>
      </c>
      <c r="D11" s="159">
        <f t="shared" ref="D11:M11" si="9">D2+D4-D6-D8</f>
        <v>136.72100000000003</v>
      </c>
      <c r="E11" s="159">
        <f t="shared" si="9"/>
        <v>124.756</v>
      </c>
      <c r="F11" s="159">
        <f t="shared" si="9"/>
        <v>309.483</v>
      </c>
      <c r="G11" s="159">
        <f t="shared" si="9"/>
        <v>419.06599999999997</v>
      </c>
      <c r="H11" s="159">
        <f t="shared" si="9"/>
        <v>301.82499999999999</v>
      </c>
      <c r="I11" s="172">
        <f t="shared" si="9"/>
        <v>318.13297048359499</v>
      </c>
      <c r="J11" s="172">
        <f t="shared" si="9"/>
        <v>343.5836081222825</v>
      </c>
      <c r="K11" s="172">
        <f t="shared" si="9"/>
        <v>371.07029677206515</v>
      </c>
      <c r="L11" s="172">
        <f t="shared" si="9"/>
        <v>400.75592051383046</v>
      </c>
      <c r="M11" s="172">
        <f t="shared" si="9"/>
        <v>432.81639415493686</v>
      </c>
    </row>
    <row r="12" spans="1:31" x14ac:dyDescent="0.2">
      <c r="C12" s="171"/>
      <c r="D12" s="171"/>
      <c r="E12" s="171"/>
      <c r="F12" s="171"/>
      <c r="G12" s="171"/>
      <c r="H12" s="171"/>
      <c r="I12" s="171"/>
      <c r="J12" s="171"/>
      <c r="K12" s="171"/>
      <c r="L12" s="171"/>
    </row>
    <row r="13" spans="1:31" x14ac:dyDescent="0.2">
      <c r="C13" s="171"/>
      <c r="D13" s="171"/>
      <c r="E13" s="171"/>
      <c r="F13" s="171"/>
      <c r="G13" s="171"/>
      <c r="H13" s="171"/>
      <c r="I13" s="171"/>
      <c r="J13" s="171"/>
      <c r="K13" s="171"/>
      <c r="L13" s="171"/>
    </row>
    <row r="14" spans="1:31" x14ac:dyDescent="0.2">
      <c r="C14" s="171"/>
      <c r="D14" s="171"/>
      <c r="E14" s="171"/>
      <c r="F14" s="171"/>
      <c r="G14" s="171"/>
      <c r="H14" s="171"/>
      <c r="I14" s="171"/>
      <c r="J14" s="171"/>
      <c r="K14" s="171"/>
      <c r="L14" s="171"/>
    </row>
    <row r="15" spans="1:31" x14ac:dyDescent="0.2">
      <c r="C15" s="171"/>
      <c r="D15" s="171"/>
      <c r="E15" s="171"/>
      <c r="F15" s="171"/>
      <c r="G15" s="171"/>
      <c r="H15" s="171"/>
      <c r="I15" s="171"/>
      <c r="J15" s="171"/>
      <c r="K15" s="171"/>
      <c r="L15" s="171"/>
    </row>
    <row r="16" spans="1:31" x14ac:dyDescent="0.2">
      <c r="C16" s="171"/>
      <c r="D16" s="171"/>
      <c r="E16" s="171"/>
      <c r="F16" s="171"/>
      <c r="G16" s="171"/>
      <c r="H16" s="171"/>
      <c r="I16" s="171"/>
      <c r="J16" s="171"/>
      <c r="K16" s="171"/>
      <c r="L16" s="171"/>
    </row>
    <row r="17" spans="3:12" x14ac:dyDescent="0.2">
      <c r="C17" s="171"/>
      <c r="D17" s="171"/>
      <c r="E17" s="171"/>
      <c r="F17" s="171"/>
      <c r="G17" s="171"/>
      <c r="H17" s="171"/>
      <c r="I17" s="171"/>
      <c r="J17" s="171"/>
      <c r="K17" s="171"/>
      <c r="L17" s="171"/>
    </row>
    <row r="18" spans="3:12" x14ac:dyDescent="0.2">
      <c r="C18" s="171"/>
      <c r="D18" s="171"/>
      <c r="E18" s="171"/>
      <c r="F18" s="171"/>
      <c r="G18" s="171"/>
      <c r="H18" s="171"/>
      <c r="I18" s="171"/>
      <c r="J18" s="171"/>
      <c r="K18" s="171"/>
      <c r="L18" s="171"/>
    </row>
    <row r="19" spans="3:12" x14ac:dyDescent="0.2">
      <c r="C19" s="171"/>
      <c r="D19" s="171"/>
      <c r="E19" s="171"/>
      <c r="F19" s="171"/>
      <c r="G19" s="171"/>
      <c r="H19" s="171"/>
      <c r="I19" s="171"/>
      <c r="J19" s="171"/>
      <c r="K19" s="171"/>
      <c r="L19" s="171"/>
    </row>
    <row r="20" spans="3:12" x14ac:dyDescent="0.2">
      <c r="C20" s="171"/>
      <c r="D20" s="171"/>
      <c r="E20" s="171"/>
      <c r="F20" s="171"/>
      <c r="G20" s="171"/>
      <c r="H20" s="171"/>
      <c r="I20" s="171"/>
      <c r="J20" s="171"/>
      <c r="K20" s="171"/>
      <c r="L20" s="171"/>
    </row>
    <row r="21" spans="3:12" ht="15.75" customHeight="1" x14ac:dyDescent="0.2">
      <c r="C21" s="171"/>
      <c r="D21" s="171"/>
      <c r="E21" s="171"/>
      <c r="F21" s="171"/>
      <c r="G21" s="171"/>
      <c r="H21" s="171"/>
      <c r="I21" s="171"/>
      <c r="J21" s="171"/>
      <c r="K21" s="171"/>
      <c r="L21" s="171"/>
    </row>
    <row r="22" spans="3:12" ht="15.75" customHeight="1" x14ac:dyDescent="0.2">
      <c r="C22" s="171"/>
      <c r="D22" s="171"/>
      <c r="E22" s="171"/>
      <c r="F22" s="171"/>
      <c r="G22" s="171"/>
      <c r="H22" s="171"/>
      <c r="I22" s="171"/>
      <c r="J22" s="171"/>
      <c r="K22" s="171"/>
      <c r="L22" s="171"/>
    </row>
    <row r="23" spans="3:12" ht="15.75" customHeight="1" x14ac:dyDescent="0.2">
      <c r="C23" s="171"/>
      <c r="D23" s="171"/>
      <c r="E23" s="171"/>
      <c r="F23" s="171"/>
      <c r="G23" s="171"/>
      <c r="H23" s="171"/>
      <c r="I23" s="171"/>
      <c r="J23" s="171"/>
      <c r="K23" s="171"/>
      <c r="L23" s="171"/>
    </row>
    <row r="24" spans="3:12" ht="15.75" customHeight="1" x14ac:dyDescent="0.2">
      <c r="C24" s="171"/>
      <c r="D24" s="171"/>
      <c r="E24" s="171"/>
      <c r="F24" s="171"/>
      <c r="G24" s="171"/>
      <c r="H24" s="171"/>
      <c r="I24" s="171"/>
      <c r="J24" s="171"/>
      <c r="K24" s="171"/>
      <c r="L24" s="171"/>
    </row>
    <row r="25" spans="3:12" ht="15.75" customHeight="1" x14ac:dyDescent="0.2">
      <c r="C25" s="171"/>
      <c r="D25" s="171"/>
      <c r="E25" s="171"/>
      <c r="F25" s="171"/>
      <c r="G25" s="171"/>
      <c r="H25" s="171"/>
      <c r="I25" s="171"/>
      <c r="J25" s="171"/>
      <c r="K25" s="171"/>
      <c r="L25" s="171"/>
    </row>
    <row r="26" spans="3:12" ht="15.75" customHeight="1" x14ac:dyDescent="0.2">
      <c r="C26" s="171"/>
      <c r="D26" s="171"/>
      <c r="E26" s="171"/>
      <c r="F26" s="171"/>
      <c r="G26" s="171"/>
      <c r="H26" s="171"/>
      <c r="I26" s="171"/>
      <c r="J26" s="171"/>
      <c r="K26" s="171"/>
      <c r="L26" s="171"/>
    </row>
    <row r="27" spans="3:12" ht="15.75" customHeight="1" x14ac:dyDescent="0.2">
      <c r="C27" s="171"/>
      <c r="D27" s="171"/>
      <c r="E27" s="171"/>
      <c r="F27" s="171"/>
      <c r="G27" s="171"/>
      <c r="H27" s="171"/>
      <c r="I27" s="171"/>
      <c r="J27" s="171"/>
      <c r="K27" s="171"/>
      <c r="L27" s="171"/>
    </row>
    <row r="28" spans="3:12" ht="15.75" customHeight="1" x14ac:dyDescent="0.2">
      <c r="C28" s="171"/>
      <c r="D28" s="171"/>
      <c r="E28" s="171"/>
      <c r="F28" s="171"/>
      <c r="G28" s="171"/>
      <c r="H28" s="171"/>
      <c r="I28" s="171"/>
      <c r="J28" s="171"/>
      <c r="K28" s="171"/>
      <c r="L28" s="171"/>
    </row>
    <row r="29" spans="3:12" ht="15.75" customHeight="1" x14ac:dyDescent="0.2">
      <c r="C29" s="171"/>
      <c r="D29" s="171"/>
      <c r="E29" s="171"/>
      <c r="F29" s="171"/>
      <c r="G29" s="171"/>
      <c r="H29" s="171"/>
      <c r="I29" s="171"/>
      <c r="J29" s="171"/>
      <c r="K29" s="171"/>
      <c r="L29" s="171"/>
    </row>
    <row r="30" spans="3:12" ht="15.75" customHeight="1" x14ac:dyDescent="0.2">
      <c r="C30" s="171"/>
      <c r="D30" s="171"/>
      <c r="E30" s="171"/>
      <c r="F30" s="171"/>
      <c r="G30" s="171"/>
      <c r="H30" s="171"/>
      <c r="I30" s="171"/>
      <c r="J30" s="171"/>
      <c r="K30" s="171"/>
      <c r="L30" s="171"/>
    </row>
    <row r="31" spans="3:12" ht="15.75" customHeight="1" x14ac:dyDescent="0.2">
      <c r="C31" s="171"/>
      <c r="D31" s="171"/>
      <c r="E31" s="171"/>
      <c r="F31" s="171"/>
      <c r="G31" s="171"/>
      <c r="H31" s="171"/>
      <c r="I31" s="171"/>
      <c r="J31" s="171"/>
      <c r="K31" s="171"/>
      <c r="L31" s="171"/>
    </row>
    <row r="32" spans="3:12" ht="15.75" customHeight="1" x14ac:dyDescent="0.2">
      <c r="C32" s="171"/>
      <c r="D32" s="171"/>
      <c r="E32" s="171"/>
      <c r="F32" s="171"/>
      <c r="G32" s="171"/>
      <c r="H32" s="171"/>
      <c r="I32" s="171"/>
      <c r="J32" s="171"/>
      <c r="K32" s="171"/>
      <c r="L32" s="171"/>
    </row>
    <row r="33" spans="3:12" ht="15.75" customHeight="1" x14ac:dyDescent="0.2">
      <c r="C33" s="171"/>
      <c r="D33" s="171"/>
      <c r="E33" s="171"/>
      <c r="F33" s="171"/>
      <c r="G33" s="171"/>
      <c r="H33" s="171"/>
      <c r="I33" s="171"/>
      <c r="J33" s="171"/>
      <c r="K33" s="171"/>
      <c r="L33" s="171"/>
    </row>
    <row r="34" spans="3:12" ht="15.75" customHeight="1" x14ac:dyDescent="0.2">
      <c r="C34" s="171"/>
      <c r="D34" s="171"/>
      <c r="E34" s="171"/>
      <c r="F34" s="171"/>
      <c r="G34" s="171"/>
      <c r="H34" s="171"/>
      <c r="I34" s="171"/>
      <c r="J34" s="171"/>
      <c r="K34" s="171"/>
      <c r="L34" s="171"/>
    </row>
    <row r="35" spans="3:12" ht="15.75" customHeight="1" x14ac:dyDescent="0.2">
      <c r="C35" s="171"/>
      <c r="D35" s="171"/>
      <c r="E35" s="171"/>
      <c r="F35" s="171"/>
      <c r="G35" s="171"/>
      <c r="H35" s="171"/>
      <c r="I35" s="171"/>
      <c r="J35" s="171"/>
      <c r="K35" s="171"/>
      <c r="L35" s="171"/>
    </row>
    <row r="36" spans="3:12" ht="15.75" customHeight="1" x14ac:dyDescent="0.2">
      <c r="C36" s="171"/>
      <c r="D36" s="171"/>
      <c r="E36" s="171"/>
      <c r="F36" s="171"/>
      <c r="G36" s="171"/>
      <c r="H36" s="171"/>
      <c r="I36" s="171"/>
      <c r="J36" s="171"/>
      <c r="K36" s="171"/>
      <c r="L36" s="171"/>
    </row>
    <row r="37" spans="3:12" ht="15.75" customHeight="1" x14ac:dyDescent="0.2">
      <c r="C37" s="171"/>
      <c r="D37" s="171"/>
      <c r="E37" s="171"/>
      <c r="F37" s="171"/>
      <c r="G37" s="171"/>
      <c r="H37" s="171"/>
      <c r="I37" s="171"/>
      <c r="J37" s="171"/>
      <c r="K37" s="171"/>
      <c r="L37" s="171"/>
    </row>
    <row r="38" spans="3:12" ht="15.75" customHeight="1" x14ac:dyDescent="0.2">
      <c r="C38" s="171"/>
      <c r="D38" s="171"/>
      <c r="E38" s="171"/>
      <c r="F38" s="171"/>
      <c r="G38" s="171"/>
      <c r="H38" s="171"/>
      <c r="I38" s="171"/>
      <c r="J38" s="171"/>
      <c r="K38" s="171"/>
      <c r="L38" s="171"/>
    </row>
    <row r="39" spans="3:12" ht="15.75" customHeight="1" x14ac:dyDescent="0.2">
      <c r="C39" s="171"/>
      <c r="D39" s="171"/>
      <c r="E39" s="171"/>
      <c r="F39" s="171"/>
      <c r="G39" s="171"/>
      <c r="H39" s="171"/>
      <c r="I39" s="171"/>
      <c r="J39" s="171"/>
      <c r="K39" s="171"/>
      <c r="L39" s="171"/>
    </row>
    <row r="40" spans="3:12" ht="15.75" customHeight="1" x14ac:dyDescent="0.2">
      <c r="C40" s="171"/>
      <c r="D40" s="171"/>
      <c r="E40" s="171"/>
      <c r="F40" s="171"/>
      <c r="G40" s="171"/>
      <c r="H40" s="171"/>
      <c r="I40" s="171"/>
      <c r="J40" s="171"/>
      <c r="K40" s="171"/>
      <c r="L40" s="171"/>
    </row>
    <row r="41" spans="3:12" ht="15.75" customHeight="1" x14ac:dyDescent="0.2">
      <c r="C41" s="171"/>
      <c r="D41" s="171"/>
      <c r="E41" s="171"/>
      <c r="F41" s="171"/>
      <c r="G41" s="171"/>
      <c r="H41" s="171"/>
      <c r="I41" s="171"/>
      <c r="J41" s="171"/>
      <c r="K41" s="171"/>
      <c r="L41" s="171"/>
    </row>
    <row r="42" spans="3:12" ht="15.75" customHeight="1" x14ac:dyDescent="0.2">
      <c r="C42" s="171"/>
      <c r="D42" s="171"/>
      <c r="E42" s="171"/>
      <c r="F42" s="171"/>
      <c r="G42" s="171"/>
      <c r="H42" s="171"/>
      <c r="I42" s="171"/>
      <c r="J42" s="171"/>
      <c r="K42" s="171"/>
      <c r="L42" s="171"/>
    </row>
    <row r="43" spans="3:12" ht="15.75" customHeight="1" x14ac:dyDescent="0.2">
      <c r="C43" s="171"/>
      <c r="D43" s="171"/>
      <c r="E43" s="171"/>
      <c r="F43" s="171"/>
      <c r="G43" s="171"/>
      <c r="H43" s="171"/>
      <c r="I43" s="171"/>
      <c r="J43" s="171"/>
      <c r="K43" s="171"/>
      <c r="L43" s="171"/>
    </row>
    <row r="44" spans="3:12" ht="15.75" customHeight="1" x14ac:dyDescent="0.2">
      <c r="C44" s="171"/>
      <c r="D44" s="171"/>
      <c r="E44" s="171"/>
      <c r="F44" s="171"/>
      <c r="G44" s="171"/>
      <c r="H44" s="171"/>
      <c r="I44" s="171"/>
      <c r="J44" s="171"/>
      <c r="K44" s="171"/>
      <c r="L44" s="171"/>
    </row>
    <row r="45" spans="3:12" ht="15.75" customHeight="1" x14ac:dyDescent="0.2">
      <c r="C45" s="171"/>
      <c r="D45" s="171"/>
      <c r="E45" s="171"/>
      <c r="F45" s="171"/>
      <c r="G45" s="171"/>
      <c r="H45" s="171"/>
      <c r="I45" s="171"/>
      <c r="J45" s="171"/>
      <c r="K45" s="171"/>
      <c r="L45" s="171"/>
    </row>
    <row r="46" spans="3:12" ht="15.75" customHeight="1" x14ac:dyDescent="0.2">
      <c r="C46" s="171"/>
      <c r="D46" s="171"/>
      <c r="E46" s="171"/>
      <c r="F46" s="171"/>
      <c r="G46" s="171"/>
      <c r="H46" s="171"/>
      <c r="I46" s="171"/>
      <c r="J46" s="171"/>
      <c r="K46" s="171"/>
      <c r="L46" s="171"/>
    </row>
    <row r="47" spans="3:12" ht="15.75" customHeight="1" x14ac:dyDescent="0.2">
      <c r="C47" s="171"/>
      <c r="D47" s="171"/>
      <c r="E47" s="171"/>
      <c r="F47" s="171"/>
      <c r="G47" s="171"/>
      <c r="H47" s="171"/>
      <c r="I47" s="171"/>
      <c r="J47" s="171"/>
      <c r="K47" s="171"/>
      <c r="L47" s="171"/>
    </row>
    <row r="48" spans="3:12" ht="15.75" customHeight="1" x14ac:dyDescent="0.2">
      <c r="C48" s="171"/>
      <c r="D48" s="171"/>
      <c r="E48" s="171"/>
      <c r="F48" s="171"/>
      <c r="G48" s="171"/>
      <c r="H48" s="171"/>
      <c r="I48" s="171"/>
      <c r="J48" s="171"/>
      <c r="K48" s="171"/>
      <c r="L48" s="171"/>
    </row>
    <row r="49" spans="3:12" ht="15.75" customHeight="1" x14ac:dyDescent="0.2">
      <c r="C49" s="171"/>
      <c r="D49" s="171"/>
      <c r="E49" s="171"/>
      <c r="F49" s="171"/>
      <c r="G49" s="171"/>
      <c r="H49" s="171"/>
      <c r="I49" s="171"/>
      <c r="J49" s="171"/>
      <c r="K49" s="171"/>
      <c r="L49" s="171"/>
    </row>
    <row r="50" spans="3:12" ht="15.75" customHeight="1" x14ac:dyDescent="0.2">
      <c r="C50" s="171"/>
      <c r="D50" s="171"/>
      <c r="E50" s="171"/>
      <c r="F50" s="171"/>
      <c r="G50" s="171"/>
      <c r="H50" s="171"/>
      <c r="I50" s="171"/>
      <c r="J50" s="171"/>
      <c r="K50" s="171"/>
      <c r="L50" s="171"/>
    </row>
    <row r="51" spans="3:12" ht="15.75" customHeight="1" x14ac:dyDescent="0.2">
      <c r="C51" s="171"/>
      <c r="D51" s="171"/>
      <c r="E51" s="171"/>
      <c r="F51" s="171"/>
      <c r="G51" s="171"/>
      <c r="H51" s="171"/>
      <c r="I51" s="171"/>
      <c r="J51" s="171"/>
      <c r="K51" s="171"/>
      <c r="L51" s="171"/>
    </row>
    <row r="52" spans="3:12" ht="15.75" customHeight="1" x14ac:dyDescent="0.2">
      <c r="C52" s="171"/>
      <c r="D52" s="171"/>
      <c r="E52" s="171"/>
      <c r="F52" s="171"/>
      <c r="G52" s="171"/>
      <c r="H52" s="171"/>
      <c r="I52" s="171"/>
      <c r="J52" s="171"/>
      <c r="K52" s="171"/>
      <c r="L52" s="171"/>
    </row>
    <row r="53" spans="3:12" ht="15.75" customHeight="1" x14ac:dyDescent="0.2">
      <c r="C53" s="171"/>
      <c r="D53" s="171"/>
      <c r="E53" s="171"/>
      <c r="F53" s="171"/>
      <c r="G53" s="171"/>
      <c r="H53" s="171"/>
      <c r="I53" s="171"/>
      <c r="J53" s="171"/>
      <c r="K53" s="171"/>
      <c r="L53" s="171"/>
    </row>
    <row r="54" spans="3:12" ht="15.75" customHeight="1" x14ac:dyDescent="0.2">
      <c r="C54" s="171"/>
      <c r="D54" s="171"/>
      <c r="E54" s="171"/>
      <c r="F54" s="171"/>
      <c r="G54" s="171"/>
      <c r="H54" s="171"/>
      <c r="I54" s="171"/>
      <c r="J54" s="171"/>
      <c r="K54" s="171"/>
      <c r="L54" s="171"/>
    </row>
    <row r="55" spans="3:12" ht="15.75" customHeight="1" x14ac:dyDescent="0.2">
      <c r="C55" s="171"/>
      <c r="D55" s="171"/>
      <c r="E55" s="171"/>
      <c r="F55" s="171"/>
      <c r="G55" s="171"/>
      <c r="H55" s="171"/>
      <c r="I55" s="171"/>
      <c r="J55" s="171"/>
      <c r="K55" s="171"/>
      <c r="L55" s="171"/>
    </row>
    <row r="56" spans="3:12" ht="15.75" customHeight="1" x14ac:dyDescent="0.2">
      <c r="C56" s="171"/>
      <c r="D56" s="171"/>
      <c r="E56" s="171"/>
      <c r="F56" s="171"/>
      <c r="G56" s="171"/>
      <c r="H56" s="171"/>
      <c r="I56" s="171"/>
      <c r="J56" s="171"/>
      <c r="K56" s="171"/>
      <c r="L56" s="171"/>
    </row>
    <row r="57" spans="3:12" ht="15.75" customHeight="1" x14ac:dyDescent="0.2">
      <c r="C57" s="171"/>
      <c r="D57" s="171"/>
      <c r="E57" s="171"/>
      <c r="F57" s="171"/>
      <c r="G57" s="171"/>
      <c r="H57" s="171"/>
      <c r="I57" s="171"/>
      <c r="J57" s="171"/>
      <c r="K57" s="171"/>
      <c r="L57" s="171"/>
    </row>
    <row r="58" spans="3:12" ht="15.75" customHeight="1" x14ac:dyDescent="0.2">
      <c r="C58" s="171"/>
      <c r="D58" s="171"/>
      <c r="E58" s="171"/>
      <c r="F58" s="171"/>
      <c r="G58" s="171"/>
      <c r="H58" s="171"/>
      <c r="I58" s="171"/>
      <c r="J58" s="171"/>
      <c r="K58" s="171"/>
      <c r="L58" s="171"/>
    </row>
    <row r="59" spans="3:12" ht="15.75" customHeight="1" x14ac:dyDescent="0.2">
      <c r="C59" s="171"/>
      <c r="D59" s="171"/>
      <c r="E59" s="171"/>
      <c r="F59" s="171"/>
      <c r="G59" s="171"/>
      <c r="H59" s="171"/>
      <c r="I59" s="171"/>
      <c r="J59" s="171"/>
      <c r="K59" s="171"/>
      <c r="L59" s="171"/>
    </row>
    <row r="60" spans="3:12" ht="15.75" customHeight="1" x14ac:dyDescent="0.2">
      <c r="C60" s="171"/>
      <c r="D60" s="171"/>
      <c r="E60" s="171"/>
      <c r="F60" s="171"/>
      <c r="G60" s="171"/>
      <c r="H60" s="171"/>
      <c r="I60" s="171"/>
      <c r="J60" s="171"/>
      <c r="K60" s="171"/>
      <c r="L60" s="171"/>
    </row>
    <row r="61" spans="3:12" ht="15.75" customHeight="1" x14ac:dyDescent="0.2">
      <c r="C61" s="171"/>
      <c r="D61" s="171"/>
      <c r="E61" s="171"/>
      <c r="F61" s="171"/>
      <c r="G61" s="171"/>
      <c r="H61" s="171"/>
      <c r="I61" s="171"/>
      <c r="J61" s="171"/>
      <c r="K61" s="171"/>
      <c r="L61" s="171"/>
    </row>
    <row r="62" spans="3:12" ht="15.75" customHeight="1" x14ac:dyDescent="0.2">
      <c r="C62" s="171"/>
      <c r="D62" s="171"/>
      <c r="E62" s="171"/>
      <c r="F62" s="171"/>
      <c r="G62" s="171"/>
      <c r="H62" s="171"/>
      <c r="I62" s="171"/>
      <c r="J62" s="171"/>
      <c r="K62" s="171"/>
      <c r="L62" s="171"/>
    </row>
    <row r="63" spans="3:12" ht="15.75" customHeight="1" x14ac:dyDescent="0.2">
      <c r="C63" s="171"/>
      <c r="D63" s="171"/>
      <c r="E63" s="171"/>
      <c r="F63" s="171"/>
      <c r="G63" s="171"/>
      <c r="H63" s="171"/>
      <c r="I63" s="171"/>
      <c r="J63" s="171"/>
      <c r="K63" s="171"/>
      <c r="L63" s="171"/>
    </row>
    <row r="64" spans="3:12" ht="15.75" customHeight="1" x14ac:dyDescent="0.2">
      <c r="C64" s="171"/>
      <c r="D64" s="171"/>
      <c r="E64" s="171"/>
      <c r="F64" s="171"/>
      <c r="G64" s="171"/>
      <c r="H64" s="171"/>
      <c r="I64" s="171"/>
      <c r="J64" s="171"/>
      <c r="K64" s="171"/>
      <c r="L64" s="171"/>
    </row>
    <row r="65" spans="3:12" ht="15.75" customHeight="1" x14ac:dyDescent="0.2">
      <c r="C65" s="171"/>
      <c r="D65" s="171"/>
      <c r="E65" s="171"/>
      <c r="F65" s="171"/>
      <c r="G65" s="171"/>
      <c r="H65" s="171"/>
      <c r="I65" s="171"/>
      <c r="J65" s="171"/>
      <c r="K65" s="171"/>
      <c r="L65" s="171"/>
    </row>
    <row r="66" spans="3:12" ht="15.75" customHeight="1" x14ac:dyDescent="0.2">
      <c r="C66" s="171"/>
      <c r="D66" s="171"/>
      <c r="E66" s="171"/>
      <c r="F66" s="171"/>
      <c r="G66" s="171"/>
      <c r="H66" s="171"/>
      <c r="I66" s="171"/>
      <c r="J66" s="171"/>
      <c r="K66" s="171"/>
      <c r="L66" s="171"/>
    </row>
    <row r="67" spans="3:12" ht="15.75" customHeight="1" x14ac:dyDescent="0.2">
      <c r="C67" s="171"/>
      <c r="D67" s="171"/>
      <c r="E67" s="171"/>
      <c r="F67" s="171"/>
      <c r="G67" s="171"/>
      <c r="H67" s="171"/>
      <c r="I67" s="171"/>
      <c r="J67" s="171"/>
      <c r="K67" s="171"/>
      <c r="L67" s="171"/>
    </row>
    <row r="68" spans="3:12" ht="15.75" customHeight="1" x14ac:dyDescent="0.2">
      <c r="C68" s="171"/>
      <c r="D68" s="171"/>
      <c r="E68" s="171"/>
      <c r="F68" s="171"/>
      <c r="G68" s="171"/>
      <c r="H68" s="171"/>
      <c r="I68" s="171"/>
      <c r="J68" s="171"/>
      <c r="K68" s="171"/>
      <c r="L68" s="171"/>
    </row>
    <row r="69" spans="3:12" ht="15.75" customHeight="1" x14ac:dyDescent="0.2">
      <c r="C69" s="171"/>
      <c r="D69" s="171"/>
      <c r="E69" s="171"/>
      <c r="F69" s="171"/>
      <c r="G69" s="171"/>
      <c r="H69" s="171"/>
      <c r="I69" s="171"/>
      <c r="J69" s="171"/>
      <c r="K69" s="171"/>
      <c r="L69" s="171"/>
    </row>
    <row r="70" spans="3:12" ht="15.75" customHeight="1" x14ac:dyDescent="0.2">
      <c r="C70" s="171"/>
      <c r="D70" s="171"/>
      <c r="E70" s="171"/>
      <c r="F70" s="171"/>
      <c r="G70" s="171"/>
      <c r="H70" s="171"/>
      <c r="I70" s="171"/>
      <c r="J70" s="171"/>
      <c r="K70" s="171"/>
      <c r="L70" s="171"/>
    </row>
    <row r="71" spans="3:12" ht="15.75" customHeight="1" x14ac:dyDescent="0.2">
      <c r="C71" s="171"/>
      <c r="D71" s="171"/>
      <c r="E71" s="171"/>
      <c r="F71" s="171"/>
      <c r="G71" s="171"/>
      <c r="H71" s="171"/>
      <c r="I71" s="171"/>
      <c r="J71" s="171"/>
      <c r="K71" s="171"/>
      <c r="L71" s="171"/>
    </row>
    <row r="72" spans="3:12" ht="15.75" customHeight="1" x14ac:dyDescent="0.2">
      <c r="C72" s="171"/>
      <c r="D72" s="171"/>
      <c r="E72" s="171"/>
      <c r="F72" s="171"/>
      <c r="G72" s="171"/>
      <c r="H72" s="171"/>
      <c r="I72" s="171"/>
      <c r="J72" s="171"/>
      <c r="K72" s="171"/>
      <c r="L72" s="171"/>
    </row>
    <row r="73" spans="3:12" ht="15.75" customHeight="1" x14ac:dyDescent="0.2">
      <c r="C73" s="171"/>
      <c r="D73" s="171"/>
      <c r="E73" s="171"/>
      <c r="F73" s="171"/>
      <c r="G73" s="171"/>
      <c r="H73" s="171"/>
      <c r="I73" s="171"/>
      <c r="J73" s="171"/>
      <c r="K73" s="171"/>
      <c r="L73" s="171"/>
    </row>
    <row r="74" spans="3:12" ht="15.75" customHeight="1" x14ac:dyDescent="0.2">
      <c r="C74" s="171"/>
      <c r="D74" s="171"/>
      <c r="E74" s="171"/>
      <c r="F74" s="171"/>
      <c r="G74" s="171"/>
      <c r="H74" s="171"/>
      <c r="I74" s="171"/>
      <c r="J74" s="171"/>
      <c r="K74" s="171"/>
      <c r="L74" s="171"/>
    </row>
    <row r="75" spans="3:12" ht="15.75" customHeight="1" x14ac:dyDescent="0.2">
      <c r="C75" s="171"/>
      <c r="D75" s="171"/>
      <c r="E75" s="171"/>
      <c r="F75" s="171"/>
      <c r="G75" s="171"/>
      <c r="H75" s="171"/>
      <c r="I75" s="171"/>
      <c r="J75" s="171"/>
      <c r="K75" s="171"/>
      <c r="L75" s="171"/>
    </row>
    <row r="76" spans="3:12" ht="15.75" customHeight="1" x14ac:dyDescent="0.2">
      <c r="C76" s="171"/>
      <c r="D76" s="171"/>
      <c r="E76" s="171"/>
      <c r="F76" s="171"/>
      <c r="G76" s="171"/>
      <c r="H76" s="171"/>
      <c r="I76" s="171"/>
      <c r="J76" s="171"/>
      <c r="K76" s="171"/>
      <c r="L76" s="171"/>
    </row>
    <row r="77" spans="3:12" ht="15.75" customHeight="1" x14ac:dyDescent="0.2">
      <c r="C77" s="171"/>
      <c r="D77" s="171"/>
      <c r="E77" s="171"/>
      <c r="F77" s="171"/>
      <c r="G77" s="171"/>
      <c r="H77" s="171"/>
      <c r="I77" s="171"/>
      <c r="J77" s="171"/>
      <c r="K77" s="171"/>
      <c r="L77" s="171"/>
    </row>
    <row r="78" spans="3:12" ht="15.75" customHeight="1" x14ac:dyDescent="0.2">
      <c r="C78" s="171"/>
      <c r="D78" s="171"/>
      <c r="E78" s="171"/>
      <c r="F78" s="171"/>
      <c r="G78" s="171"/>
      <c r="H78" s="171"/>
      <c r="I78" s="171"/>
      <c r="J78" s="171"/>
      <c r="K78" s="171"/>
      <c r="L78" s="171"/>
    </row>
    <row r="79" spans="3:12" ht="15.75" customHeight="1" x14ac:dyDescent="0.2">
      <c r="C79" s="171"/>
      <c r="D79" s="171"/>
      <c r="E79" s="171"/>
      <c r="F79" s="171"/>
      <c r="G79" s="171"/>
      <c r="H79" s="171"/>
      <c r="I79" s="171"/>
      <c r="J79" s="171"/>
      <c r="K79" s="171"/>
      <c r="L79" s="171"/>
    </row>
    <row r="80" spans="3:12" ht="15.75" customHeight="1" x14ac:dyDescent="0.2">
      <c r="C80" s="171"/>
      <c r="D80" s="171"/>
      <c r="E80" s="171"/>
      <c r="F80" s="171"/>
      <c r="G80" s="171"/>
      <c r="H80" s="171"/>
      <c r="I80" s="171"/>
      <c r="J80" s="171"/>
      <c r="K80" s="171"/>
      <c r="L80" s="171"/>
    </row>
    <row r="81" spans="3:12" ht="15.75" customHeight="1" x14ac:dyDescent="0.2">
      <c r="C81" s="171"/>
      <c r="D81" s="171"/>
      <c r="E81" s="171"/>
      <c r="F81" s="171"/>
      <c r="G81" s="171"/>
      <c r="H81" s="171"/>
      <c r="I81" s="171"/>
      <c r="J81" s="171"/>
      <c r="K81" s="171"/>
      <c r="L81" s="171"/>
    </row>
    <row r="82" spans="3:12" ht="15.75" customHeight="1" x14ac:dyDescent="0.2">
      <c r="C82" s="171"/>
      <c r="D82" s="171"/>
      <c r="E82" s="171"/>
      <c r="F82" s="171"/>
      <c r="G82" s="171"/>
      <c r="H82" s="171"/>
      <c r="I82" s="171"/>
      <c r="J82" s="171"/>
      <c r="K82" s="171"/>
      <c r="L82" s="171"/>
    </row>
    <row r="83" spans="3:12" ht="15.75" customHeight="1" x14ac:dyDescent="0.2">
      <c r="C83" s="171"/>
      <c r="D83" s="171"/>
      <c r="E83" s="171"/>
      <c r="F83" s="171"/>
      <c r="G83" s="171"/>
      <c r="H83" s="171"/>
      <c r="I83" s="171"/>
      <c r="J83" s="171"/>
      <c r="K83" s="171"/>
      <c r="L83" s="171"/>
    </row>
    <row r="84" spans="3:12" ht="15.75" customHeight="1" x14ac:dyDescent="0.2">
      <c r="C84" s="171"/>
      <c r="D84" s="171"/>
      <c r="E84" s="171"/>
      <c r="F84" s="171"/>
      <c r="G84" s="171"/>
      <c r="H84" s="171"/>
      <c r="I84" s="171"/>
      <c r="J84" s="171"/>
      <c r="K84" s="171"/>
      <c r="L84" s="171"/>
    </row>
    <row r="85" spans="3:12" ht="15.75" customHeight="1" x14ac:dyDescent="0.2">
      <c r="C85" s="171"/>
      <c r="D85" s="171"/>
      <c r="E85" s="171"/>
      <c r="F85" s="171"/>
      <c r="G85" s="171"/>
      <c r="H85" s="171"/>
      <c r="I85" s="171"/>
      <c r="J85" s="171"/>
      <c r="K85" s="171"/>
      <c r="L85" s="171"/>
    </row>
    <row r="86" spans="3:12" ht="15.75" customHeight="1" x14ac:dyDescent="0.2">
      <c r="C86" s="171"/>
      <c r="D86" s="171"/>
      <c r="E86" s="171"/>
      <c r="F86" s="171"/>
      <c r="G86" s="171"/>
      <c r="H86" s="171"/>
      <c r="I86" s="171"/>
      <c r="J86" s="171"/>
      <c r="K86" s="171"/>
      <c r="L86" s="171"/>
    </row>
    <row r="87" spans="3:12" ht="15.75" customHeight="1" x14ac:dyDescent="0.2">
      <c r="C87" s="171"/>
      <c r="D87" s="171"/>
      <c r="E87" s="171"/>
      <c r="F87" s="171"/>
      <c r="G87" s="171"/>
      <c r="H87" s="171"/>
      <c r="I87" s="171"/>
      <c r="J87" s="171"/>
      <c r="K87" s="171"/>
      <c r="L87" s="171"/>
    </row>
    <row r="88" spans="3:12" ht="15.75" customHeight="1" x14ac:dyDescent="0.2">
      <c r="C88" s="171"/>
      <c r="D88" s="171"/>
      <c r="E88" s="171"/>
      <c r="F88" s="171"/>
      <c r="G88" s="171"/>
      <c r="H88" s="171"/>
      <c r="I88" s="171"/>
      <c r="J88" s="171"/>
      <c r="K88" s="171"/>
      <c r="L88" s="171"/>
    </row>
    <row r="89" spans="3:12" ht="15.75" customHeight="1" x14ac:dyDescent="0.2">
      <c r="C89" s="171"/>
      <c r="D89" s="171"/>
      <c r="E89" s="171"/>
      <c r="F89" s="171"/>
      <c r="G89" s="171"/>
      <c r="H89" s="171"/>
      <c r="I89" s="171"/>
      <c r="J89" s="171"/>
      <c r="K89" s="171"/>
      <c r="L89" s="171"/>
    </row>
    <row r="90" spans="3:12" ht="15.75" customHeight="1" x14ac:dyDescent="0.2">
      <c r="C90" s="171"/>
      <c r="D90" s="171"/>
      <c r="E90" s="171"/>
      <c r="F90" s="171"/>
      <c r="G90" s="171"/>
      <c r="H90" s="171"/>
      <c r="I90" s="171"/>
      <c r="J90" s="171"/>
      <c r="K90" s="171"/>
      <c r="L90" s="171"/>
    </row>
    <row r="91" spans="3:12" ht="15.75" customHeight="1" x14ac:dyDescent="0.2">
      <c r="C91" s="171"/>
      <c r="D91" s="171"/>
      <c r="E91" s="171"/>
      <c r="F91" s="171"/>
      <c r="G91" s="171"/>
      <c r="H91" s="171"/>
      <c r="I91" s="171"/>
      <c r="J91" s="171"/>
      <c r="K91" s="171"/>
      <c r="L91" s="171"/>
    </row>
    <row r="92" spans="3:12" ht="15.75" customHeight="1" x14ac:dyDescent="0.2">
      <c r="C92" s="171"/>
      <c r="D92" s="171"/>
      <c r="E92" s="171"/>
      <c r="F92" s="171"/>
      <c r="G92" s="171"/>
      <c r="H92" s="171"/>
      <c r="I92" s="171"/>
      <c r="J92" s="171"/>
      <c r="K92" s="171"/>
      <c r="L92" s="171"/>
    </row>
    <row r="93" spans="3:12" ht="15.75" customHeight="1" x14ac:dyDescent="0.2">
      <c r="C93" s="171"/>
      <c r="D93" s="171"/>
      <c r="E93" s="171"/>
      <c r="F93" s="171"/>
      <c r="G93" s="171"/>
      <c r="H93" s="171"/>
      <c r="I93" s="171"/>
      <c r="J93" s="171"/>
      <c r="K93" s="171"/>
      <c r="L93" s="171"/>
    </row>
    <row r="94" spans="3:12" ht="15.75" customHeight="1" x14ac:dyDescent="0.2">
      <c r="C94" s="171"/>
      <c r="D94" s="171"/>
      <c r="E94" s="171"/>
      <c r="F94" s="171"/>
      <c r="G94" s="171"/>
      <c r="H94" s="171"/>
      <c r="I94" s="171"/>
      <c r="J94" s="171"/>
      <c r="K94" s="171"/>
      <c r="L94" s="171"/>
    </row>
    <row r="95" spans="3:12" ht="15.75" customHeight="1" x14ac:dyDescent="0.2">
      <c r="C95" s="171"/>
      <c r="D95" s="171"/>
      <c r="E95" s="171"/>
      <c r="F95" s="171"/>
      <c r="G95" s="171"/>
      <c r="H95" s="171"/>
      <c r="I95" s="171"/>
      <c r="J95" s="171"/>
      <c r="K95" s="171"/>
      <c r="L95" s="171"/>
    </row>
    <row r="96" spans="3:12" ht="15.75" customHeight="1" x14ac:dyDescent="0.2">
      <c r="C96" s="171"/>
      <c r="D96" s="171"/>
      <c r="E96" s="171"/>
      <c r="F96" s="171"/>
      <c r="G96" s="171"/>
      <c r="H96" s="171"/>
      <c r="I96" s="171"/>
      <c r="J96" s="171"/>
      <c r="K96" s="171"/>
      <c r="L96" s="171"/>
    </row>
    <row r="97" spans="3:12" ht="15.75" customHeight="1" x14ac:dyDescent="0.2">
      <c r="C97" s="171"/>
      <c r="D97" s="171"/>
      <c r="E97" s="171"/>
      <c r="F97" s="171"/>
      <c r="G97" s="171"/>
      <c r="H97" s="171"/>
      <c r="I97" s="171"/>
      <c r="J97" s="171"/>
      <c r="K97" s="171"/>
      <c r="L97" s="171"/>
    </row>
    <row r="98" spans="3:12" ht="15.75" customHeight="1" x14ac:dyDescent="0.2">
      <c r="C98" s="171"/>
      <c r="D98" s="171"/>
      <c r="E98" s="171"/>
      <c r="F98" s="171"/>
      <c r="G98" s="171"/>
      <c r="H98" s="171"/>
      <c r="I98" s="171"/>
      <c r="J98" s="171"/>
      <c r="K98" s="171"/>
      <c r="L98" s="171"/>
    </row>
    <row r="99" spans="3:12" ht="15.75" customHeight="1" x14ac:dyDescent="0.2">
      <c r="C99" s="171"/>
      <c r="D99" s="171"/>
      <c r="E99" s="171"/>
      <c r="F99" s="171"/>
      <c r="G99" s="171"/>
      <c r="H99" s="171"/>
      <c r="I99" s="171"/>
      <c r="J99" s="171"/>
      <c r="K99" s="171"/>
      <c r="L99" s="171"/>
    </row>
    <row r="100" spans="3:12" ht="15.75" customHeight="1" x14ac:dyDescent="0.2"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</row>
    <row r="101" spans="3:12" ht="15.75" customHeight="1" x14ac:dyDescent="0.2">
      <c r="C101" s="171"/>
      <c r="D101" s="171"/>
      <c r="E101" s="171"/>
      <c r="F101" s="171"/>
      <c r="G101" s="171"/>
      <c r="H101" s="171"/>
      <c r="I101" s="171"/>
      <c r="J101" s="171"/>
      <c r="K101" s="171"/>
      <c r="L101" s="171"/>
    </row>
    <row r="102" spans="3:12" ht="15.75" customHeight="1" x14ac:dyDescent="0.2">
      <c r="C102" s="171"/>
      <c r="D102" s="171"/>
      <c r="E102" s="171"/>
      <c r="F102" s="171"/>
      <c r="G102" s="171"/>
      <c r="H102" s="171"/>
      <c r="I102" s="171"/>
      <c r="J102" s="171"/>
      <c r="K102" s="171"/>
      <c r="L102" s="171"/>
    </row>
    <row r="103" spans="3:12" ht="15.75" customHeight="1" x14ac:dyDescent="0.2">
      <c r="C103" s="171"/>
      <c r="D103" s="171"/>
      <c r="E103" s="171"/>
      <c r="F103" s="171"/>
      <c r="G103" s="171"/>
      <c r="H103" s="171"/>
      <c r="I103" s="171"/>
      <c r="J103" s="171"/>
      <c r="K103" s="171"/>
      <c r="L103" s="171"/>
    </row>
    <row r="104" spans="3:12" ht="15.75" customHeight="1" x14ac:dyDescent="0.2">
      <c r="C104" s="171"/>
      <c r="D104" s="171"/>
      <c r="E104" s="171"/>
      <c r="F104" s="171"/>
      <c r="G104" s="171"/>
      <c r="H104" s="171"/>
      <c r="I104" s="171"/>
      <c r="J104" s="171"/>
      <c r="K104" s="171"/>
      <c r="L104" s="171"/>
    </row>
    <row r="105" spans="3:12" ht="15.75" customHeight="1" x14ac:dyDescent="0.2">
      <c r="C105" s="171"/>
      <c r="D105" s="171"/>
      <c r="E105" s="171"/>
      <c r="F105" s="171"/>
      <c r="G105" s="171"/>
      <c r="H105" s="171"/>
      <c r="I105" s="171"/>
      <c r="J105" s="171"/>
      <c r="K105" s="171"/>
      <c r="L105" s="171"/>
    </row>
    <row r="106" spans="3:12" ht="15.75" customHeight="1" x14ac:dyDescent="0.2">
      <c r="C106" s="171"/>
      <c r="D106" s="171"/>
      <c r="E106" s="171"/>
      <c r="F106" s="171"/>
      <c r="G106" s="171"/>
      <c r="H106" s="171"/>
      <c r="I106" s="171"/>
      <c r="J106" s="171"/>
      <c r="K106" s="171"/>
      <c r="L106" s="171"/>
    </row>
    <row r="107" spans="3:12" ht="15.75" customHeight="1" x14ac:dyDescent="0.2">
      <c r="C107" s="171"/>
      <c r="D107" s="171"/>
      <c r="E107" s="171"/>
      <c r="F107" s="171"/>
      <c r="G107" s="171"/>
      <c r="H107" s="171"/>
      <c r="I107" s="171"/>
      <c r="J107" s="171"/>
      <c r="K107" s="171"/>
      <c r="L107" s="171"/>
    </row>
    <row r="108" spans="3:12" ht="15.75" customHeight="1" x14ac:dyDescent="0.2">
      <c r="C108" s="171"/>
      <c r="D108" s="171"/>
      <c r="E108" s="171"/>
      <c r="F108" s="171"/>
      <c r="G108" s="171"/>
      <c r="H108" s="171"/>
      <c r="I108" s="171"/>
      <c r="J108" s="171"/>
      <c r="K108" s="171"/>
      <c r="L108" s="171"/>
    </row>
    <row r="109" spans="3:12" ht="15.75" customHeight="1" x14ac:dyDescent="0.2">
      <c r="C109" s="171"/>
      <c r="D109" s="171"/>
      <c r="E109" s="171"/>
      <c r="F109" s="171"/>
      <c r="G109" s="171"/>
      <c r="H109" s="171"/>
      <c r="I109" s="171"/>
      <c r="J109" s="171"/>
      <c r="K109" s="171"/>
      <c r="L109" s="171"/>
    </row>
    <row r="110" spans="3:12" ht="15.75" customHeight="1" x14ac:dyDescent="0.2">
      <c r="C110" s="171"/>
      <c r="D110" s="171"/>
      <c r="E110" s="171"/>
      <c r="F110" s="171"/>
      <c r="G110" s="171"/>
      <c r="H110" s="171"/>
      <c r="I110" s="171"/>
      <c r="J110" s="171"/>
      <c r="K110" s="171"/>
      <c r="L110" s="171"/>
    </row>
    <row r="111" spans="3:12" ht="15.75" customHeight="1" x14ac:dyDescent="0.2">
      <c r="C111" s="171"/>
      <c r="D111" s="171"/>
      <c r="E111" s="171"/>
      <c r="F111" s="171"/>
      <c r="G111" s="171"/>
      <c r="H111" s="171"/>
      <c r="I111" s="171"/>
      <c r="J111" s="171"/>
      <c r="K111" s="171"/>
      <c r="L111" s="171"/>
    </row>
    <row r="112" spans="3:12" ht="15.75" customHeight="1" x14ac:dyDescent="0.2">
      <c r="C112" s="171"/>
      <c r="D112" s="171"/>
      <c r="E112" s="171"/>
      <c r="F112" s="171"/>
      <c r="G112" s="171"/>
      <c r="H112" s="171"/>
      <c r="I112" s="171"/>
      <c r="J112" s="171"/>
      <c r="K112" s="171"/>
      <c r="L112" s="171"/>
    </row>
    <row r="113" spans="3:12" ht="15.75" customHeight="1" x14ac:dyDescent="0.2">
      <c r="C113" s="171"/>
      <c r="D113" s="171"/>
      <c r="E113" s="171"/>
      <c r="F113" s="171"/>
      <c r="G113" s="171"/>
      <c r="H113" s="171"/>
      <c r="I113" s="171"/>
      <c r="J113" s="171"/>
      <c r="K113" s="171"/>
      <c r="L113" s="171"/>
    </row>
    <row r="114" spans="3:12" ht="15.75" customHeight="1" x14ac:dyDescent="0.2">
      <c r="C114" s="171"/>
      <c r="D114" s="171"/>
      <c r="E114" s="171"/>
      <c r="F114" s="171"/>
      <c r="G114" s="171"/>
      <c r="H114" s="171"/>
      <c r="I114" s="171"/>
      <c r="J114" s="171"/>
      <c r="K114" s="171"/>
      <c r="L114" s="171"/>
    </row>
    <row r="115" spans="3:12" ht="15.75" customHeight="1" x14ac:dyDescent="0.2">
      <c r="C115" s="171"/>
      <c r="D115" s="171"/>
      <c r="E115" s="171"/>
      <c r="F115" s="171"/>
      <c r="G115" s="171"/>
      <c r="H115" s="171"/>
      <c r="I115" s="171"/>
      <c r="J115" s="171"/>
      <c r="K115" s="171"/>
      <c r="L115" s="171"/>
    </row>
    <row r="116" spans="3:12" ht="15.75" customHeight="1" x14ac:dyDescent="0.2">
      <c r="C116" s="171"/>
      <c r="D116" s="171"/>
      <c r="E116" s="171"/>
      <c r="F116" s="171"/>
      <c r="G116" s="171"/>
      <c r="H116" s="171"/>
      <c r="I116" s="171"/>
      <c r="J116" s="171"/>
      <c r="K116" s="171"/>
      <c r="L116" s="171"/>
    </row>
    <row r="117" spans="3:12" ht="15.75" customHeight="1" x14ac:dyDescent="0.2">
      <c r="C117" s="171"/>
      <c r="D117" s="171"/>
      <c r="E117" s="171"/>
      <c r="F117" s="171"/>
      <c r="G117" s="171"/>
      <c r="H117" s="171"/>
      <c r="I117" s="171"/>
      <c r="J117" s="171"/>
      <c r="K117" s="171"/>
      <c r="L117" s="171"/>
    </row>
    <row r="118" spans="3:12" ht="15.75" customHeight="1" x14ac:dyDescent="0.2">
      <c r="C118" s="171"/>
      <c r="D118" s="171"/>
      <c r="E118" s="171"/>
      <c r="F118" s="171"/>
      <c r="G118" s="171"/>
      <c r="H118" s="171"/>
      <c r="I118" s="171"/>
      <c r="J118" s="171"/>
      <c r="K118" s="171"/>
      <c r="L118" s="171"/>
    </row>
    <row r="119" spans="3:12" ht="15.75" customHeight="1" x14ac:dyDescent="0.2">
      <c r="C119" s="171"/>
      <c r="D119" s="171"/>
      <c r="E119" s="171"/>
      <c r="F119" s="171"/>
      <c r="G119" s="171"/>
      <c r="H119" s="171"/>
      <c r="I119" s="171"/>
      <c r="J119" s="171"/>
      <c r="K119" s="171"/>
      <c r="L119" s="171"/>
    </row>
    <row r="120" spans="3:12" ht="15.75" customHeight="1" x14ac:dyDescent="0.2">
      <c r="C120" s="171"/>
      <c r="D120" s="171"/>
      <c r="E120" s="171"/>
      <c r="F120" s="171"/>
      <c r="G120" s="171"/>
      <c r="H120" s="171"/>
      <c r="I120" s="171"/>
      <c r="J120" s="171"/>
      <c r="K120" s="171"/>
      <c r="L120" s="171"/>
    </row>
    <row r="121" spans="3:12" ht="15.75" customHeight="1" x14ac:dyDescent="0.2">
      <c r="C121" s="171"/>
      <c r="D121" s="171"/>
      <c r="E121" s="171"/>
      <c r="F121" s="171"/>
      <c r="G121" s="171"/>
      <c r="H121" s="171"/>
      <c r="I121" s="171"/>
      <c r="J121" s="171"/>
      <c r="K121" s="171"/>
      <c r="L121" s="171"/>
    </row>
    <row r="122" spans="3:12" ht="15.75" customHeight="1" x14ac:dyDescent="0.2">
      <c r="C122" s="171"/>
      <c r="D122" s="171"/>
      <c r="E122" s="171"/>
      <c r="F122" s="171"/>
      <c r="G122" s="171"/>
      <c r="H122" s="171"/>
      <c r="I122" s="171"/>
      <c r="J122" s="171"/>
      <c r="K122" s="171"/>
      <c r="L122" s="171"/>
    </row>
    <row r="123" spans="3:12" ht="15.75" customHeight="1" x14ac:dyDescent="0.2">
      <c r="C123" s="171"/>
      <c r="D123" s="171"/>
      <c r="E123" s="171"/>
      <c r="F123" s="171"/>
      <c r="G123" s="171"/>
      <c r="H123" s="171"/>
      <c r="I123" s="171"/>
      <c r="J123" s="171"/>
      <c r="K123" s="171"/>
      <c r="L123" s="171"/>
    </row>
    <row r="124" spans="3:12" ht="15.75" customHeight="1" x14ac:dyDescent="0.2">
      <c r="C124" s="171"/>
      <c r="D124" s="171"/>
      <c r="E124" s="171"/>
      <c r="F124" s="171"/>
      <c r="G124" s="171"/>
      <c r="H124" s="171"/>
      <c r="I124" s="171"/>
      <c r="J124" s="171"/>
      <c r="K124" s="171"/>
      <c r="L124" s="171"/>
    </row>
    <row r="125" spans="3:12" ht="15.75" customHeight="1" x14ac:dyDescent="0.2">
      <c r="C125" s="171"/>
      <c r="D125" s="171"/>
      <c r="E125" s="171"/>
      <c r="F125" s="171"/>
      <c r="G125" s="171"/>
      <c r="H125" s="171"/>
      <c r="I125" s="171"/>
      <c r="J125" s="171"/>
      <c r="K125" s="171"/>
      <c r="L125" s="171"/>
    </row>
    <row r="126" spans="3:12" ht="15.75" customHeight="1" x14ac:dyDescent="0.2">
      <c r="C126" s="171"/>
      <c r="D126" s="171"/>
      <c r="E126" s="171"/>
      <c r="F126" s="171"/>
      <c r="G126" s="171"/>
      <c r="H126" s="171"/>
      <c r="I126" s="171"/>
      <c r="J126" s="171"/>
      <c r="K126" s="171"/>
      <c r="L126" s="171"/>
    </row>
    <row r="127" spans="3:12" ht="15.75" customHeight="1" x14ac:dyDescent="0.2">
      <c r="C127" s="171"/>
      <c r="D127" s="171"/>
      <c r="E127" s="171"/>
      <c r="F127" s="171"/>
      <c r="G127" s="171"/>
      <c r="H127" s="171"/>
      <c r="I127" s="171"/>
      <c r="J127" s="171"/>
      <c r="K127" s="171"/>
      <c r="L127" s="171"/>
    </row>
    <row r="128" spans="3:12" ht="15.75" customHeight="1" x14ac:dyDescent="0.2">
      <c r="C128" s="171"/>
      <c r="D128" s="171"/>
      <c r="E128" s="171"/>
      <c r="F128" s="171"/>
      <c r="G128" s="171"/>
      <c r="H128" s="171"/>
      <c r="I128" s="171"/>
      <c r="J128" s="171"/>
      <c r="K128" s="171"/>
      <c r="L128" s="171"/>
    </row>
    <row r="129" spans="3:12" ht="15.75" customHeight="1" x14ac:dyDescent="0.2">
      <c r="C129" s="171"/>
      <c r="D129" s="171"/>
      <c r="E129" s="171"/>
      <c r="F129" s="171"/>
      <c r="G129" s="171"/>
      <c r="H129" s="171"/>
      <c r="I129" s="171"/>
      <c r="J129" s="171"/>
      <c r="K129" s="171"/>
      <c r="L129" s="171"/>
    </row>
    <row r="130" spans="3:12" ht="15.75" customHeight="1" x14ac:dyDescent="0.2">
      <c r="C130" s="171"/>
      <c r="D130" s="171"/>
      <c r="E130" s="171"/>
      <c r="F130" s="171"/>
      <c r="G130" s="171"/>
      <c r="H130" s="171"/>
      <c r="I130" s="171"/>
      <c r="J130" s="171"/>
      <c r="K130" s="171"/>
      <c r="L130" s="171"/>
    </row>
    <row r="131" spans="3:12" ht="15.75" customHeight="1" x14ac:dyDescent="0.2">
      <c r="C131" s="171"/>
      <c r="D131" s="171"/>
      <c r="E131" s="171"/>
      <c r="F131" s="171"/>
      <c r="G131" s="171"/>
      <c r="H131" s="171"/>
      <c r="I131" s="171"/>
      <c r="J131" s="171"/>
      <c r="K131" s="171"/>
      <c r="L131" s="171"/>
    </row>
    <row r="132" spans="3:12" ht="15.75" customHeight="1" x14ac:dyDescent="0.2">
      <c r="C132" s="171"/>
      <c r="D132" s="171"/>
      <c r="E132" s="171"/>
      <c r="F132" s="171"/>
      <c r="G132" s="171"/>
      <c r="H132" s="171"/>
      <c r="I132" s="171"/>
      <c r="J132" s="171"/>
      <c r="K132" s="171"/>
      <c r="L132" s="171"/>
    </row>
    <row r="133" spans="3:12" ht="15.75" customHeight="1" x14ac:dyDescent="0.2">
      <c r="C133" s="171"/>
      <c r="D133" s="171"/>
      <c r="E133" s="171"/>
      <c r="F133" s="171"/>
      <c r="G133" s="171"/>
      <c r="H133" s="171"/>
      <c r="I133" s="171"/>
      <c r="J133" s="171"/>
      <c r="K133" s="171"/>
      <c r="L133" s="171"/>
    </row>
    <row r="134" spans="3:12" ht="15.75" customHeight="1" x14ac:dyDescent="0.2">
      <c r="C134" s="171"/>
      <c r="D134" s="171"/>
      <c r="E134" s="171"/>
      <c r="F134" s="171"/>
      <c r="G134" s="171"/>
      <c r="H134" s="171"/>
      <c r="I134" s="171"/>
      <c r="J134" s="171"/>
      <c r="K134" s="171"/>
      <c r="L134" s="171"/>
    </row>
    <row r="135" spans="3:12" ht="15.75" customHeight="1" x14ac:dyDescent="0.2">
      <c r="C135" s="171"/>
      <c r="D135" s="171"/>
      <c r="E135" s="171"/>
      <c r="F135" s="171"/>
      <c r="G135" s="171"/>
      <c r="H135" s="171"/>
      <c r="I135" s="171"/>
      <c r="J135" s="171"/>
      <c r="K135" s="171"/>
      <c r="L135" s="171"/>
    </row>
    <row r="136" spans="3:12" ht="15.75" customHeight="1" x14ac:dyDescent="0.2">
      <c r="C136" s="171"/>
      <c r="D136" s="171"/>
      <c r="E136" s="171"/>
      <c r="F136" s="171"/>
      <c r="G136" s="171"/>
      <c r="H136" s="171"/>
      <c r="I136" s="171"/>
      <c r="J136" s="171"/>
      <c r="K136" s="171"/>
      <c r="L136" s="171"/>
    </row>
    <row r="137" spans="3:12" ht="15.75" customHeight="1" x14ac:dyDescent="0.2">
      <c r="C137" s="171"/>
      <c r="D137" s="171"/>
      <c r="E137" s="171"/>
      <c r="F137" s="171"/>
      <c r="G137" s="171"/>
      <c r="H137" s="171"/>
      <c r="I137" s="171"/>
      <c r="J137" s="171"/>
      <c r="K137" s="171"/>
      <c r="L137" s="171"/>
    </row>
    <row r="138" spans="3:12" ht="15.75" customHeight="1" x14ac:dyDescent="0.2">
      <c r="C138" s="171"/>
      <c r="D138" s="171"/>
      <c r="E138" s="171"/>
      <c r="F138" s="171"/>
      <c r="G138" s="171"/>
      <c r="H138" s="171"/>
      <c r="I138" s="171"/>
      <c r="J138" s="171"/>
      <c r="K138" s="171"/>
      <c r="L138" s="171"/>
    </row>
    <row r="139" spans="3:12" ht="15.75" customHeight="1" x14ac:dyDescent="0.2">
      <c r="C139" s="171"/>
      <c r="D139" s="171"/>
      <c r="E139" s="171"/>
      <c r="F139" s="171"/>
      <c r="G139" s="171"/>
      <c r="H139" s="171"/>
      <c r="I139" s="171"/>
      <c r="J139" s="171"/>
      <c r="K139" s="171"/>
      <c r="L139" s="171"/>
    </row>
    <row r="140" spans="3:12" ht="15.75" customHeight="1" x14ac:dyDescent="0.2">
      <c r="C140" s="171"/>
      <c r="D140" s="171"/>
      <c r="E140" s="171"/>
      <c r="F140" s="171"/>
      <c r="G140" s="171"/>
      <c r="H140" s="171"/>
      <c r="I140" s="171"/>
      <c r="J140" s="171"/>
      <c r="K140" s="171"/>
      <c r="L140" s="171"/>
    </row>
    <row r="141" spans="3:12" ht="15.75" customHeight="1" x14ac:dyDescent="0.2">
      <c r="C141" s="171"/>
      <c r="D141" s="171"/>
      <c r="E141" s="171"/>
      <c r="F141" s="171"/>
      <c r="G141" s="171"/>
      <c r="H141" s="171"/>
      <c r="I141" s="171"/>
      <c r="J141" s="171"/>
      <c r="K141" s="171"/>
      <c r="L141" s="171"/>
    </row>
    <row r="142" spans="3:12" ht="15.75" customHeight="1" x14ac:dyDescent="0.2">
      <c r="C142" s="171"/>
      <c r="D142" s="171"/>
      <c r="E142" s="171"/>
      <c r="F142" s="171"/>
      <c r="G142" s="171"/>
      <c r="H142" s="171"/>
      <c r="I142" s="171"/>
      <c r="J142" s="171"/>
      <c r="K142" s="171"/>
      <c r="L142" s="171"/>
    </row>
    <row r="143" spans="3:12" ht="15.75" customHeight="1" x14ac:dyDescent="0.2">
      <c r="C143" s="171"/>
      <c r="D143" s="171"/>
      <c r="E143" s="171"/>
      <c r="F143" s="171"/>
      <c r="G143" s="171"/>
      <c r="H143" s="171"/>
      <c r="I143" s="171"/>
      <c r="J143" s="171"/>
      <c r="K143" s="171"/>
      <c r="L143" s="171"/>
    </row>
    <row r="144" spans="3:12" ht="15.75" customHeight="1" x14ac:dyDescent="0.2">
      <c r="C144" s="171"/>
      <c r="D144" s="171"/>
      <c r="E144" s="171"/>
      <c r="F144" s="171"/>
      <c r="G144" s="171"/>
      <c r="H144" s="171"/>
      <c r="I144" s="171"/>
      <c r="J144" s="171"/>
      <c r="K144" s="171"/>
      <c r="L144" s="171"/>
    </row>
    <row r="145" spans="3:12" ht="15.75" customHeight="1" x14ac:dyDescent="0.2">
      <c r="C145" s="171"/>
      <c r="D145" s="171"/>
      <c r="E145" s="171"/>
      <c r="F145" s="171"/>
      <c r="G145" s="171"/>
      <c r="H145" s="171"/>
      <c r="I145" s="171"/>
      <c r="J145" s="171"/>
      <c r="K145" s="171"/>
      <c r="L145" s="171"/>
    </row>
    <row r="146" spans="3:12" ht="15.75" customHeight="1" x14ac:dyDescent="0.2">
      <c r="C146" s="171"/>
      <c r="D146" s="171"/>
      <c r="E146" s="171"/>
      <c r="F146" s="171"/>
      <c r="G146" s="171"/>
      <c r="H146" s="171"/>
      <c r="I146" s="171"/>
      <c r="J146" s="171"/>
      <c r="K146" s="171"/>
      <c r="L146" s="171"/>
    </row>
    <row r="147" spans="3:12" ht="15.75" customHeight="1" x14ac:dyDescent="0.2">
      <c r="C147" s="171"/>
      <c r="D147" s="171"/>
      <c r="E147" s="171"/>
      <c r="F147" s="171"/>
      <c r="G147" s="171"/>
      <c r="H147" s="171"/>
      <c r="I147" s="171"/>
      <c r="J147" s="171"/>
      <c r="K147" s="171"/>
      <c r="L147" s="171"/>
    </row>
    <row r="148" spans="3:12" ht="15.75" customHeight="1" x14ac:dyDescent="0.2">
      <c r="C148" s="171"/>
      <c r="D148" s="171"/>
      <c r="E148" s="171"/>
      <c r="F148" s="171"/>
      <c r="G148" s="171"/>
      <c r="H148" s="171"/>
      <c r="I148" s="171"/>
      <c r="J148" s="171"/>
      <c r="K148" s="171"/>
      <c r="L148" s="171"/>
    </row>
    <row r="149" spans="3:12" ht="15.75" customHeight="1" x14ac:dyDescent="0.2">
      <c r="C149" s="171"/>
      <c r="D149" s="171"/>
      <c r="E149" s="171"/>
      <c r="F149" s="171"/>
      <c r="G149" s="171"/>
      <c r="H149" s="171"/>
      <c r="I149" s="171"/>
      <c r="J149" s="171"/>
      <c r="K149" s="171"/>
      <c r="L149" s="171"/>
    </row>
    <row r="150" spans="3:12" ht="15.75" customHeight="1" x14ac:dyDescent="0.2">
      <c r="C150" s="171"/>
      <c r="D150" s="171"/>
      <c r="E150" s="171"/>
      <c r="F150" s="171"/>
      <c r="G150" s="171"/>
      <c r="H150" s="171"/>
      <c r="I150" s="171"/>
      <c r="J150" s="171"/>
      <c r="K150" s="171"/>
      <c r="L150" s="171"/>
    </row>
    <row r="151" spans="3:12" ht="15.75" customHeight="1" x14ac:dyDescent="0.2">
      <c r="C151" s="171"/>
      <c r="D151" s="171"/>
      <c r="E151" s="171"/>
      <c r="F151" s="171"/>
      <c r="G151" s="171"/>
      <c r="H151" s="171"/>
      <c r="I151" s="171"/>
      <c r="J151" s="171"/>
      <c r="K151" s="171"/>
      <c r="L151" s="171"/>
    </row>
    <row r="152" spans="3:12" ht="15.75" customHeight="1" x14ac:dyDescent="0.2">
      <c r="C152" s="171"/>
      <c r="D152" s="171"/>
      <c r="E152" s="171"/>
      <c r="F152" s="171"/>
      <c r="G152" s="171"/>
      <c r="H152" s="171"/>
      <c r="I152" s="171"/>
      <c r="J152" s="171"/>
      <c r="K152" s="171"/>
      <c r="L152" s="171"/>
    </row>
    <row r="153" spans="3:12" ht="15.75" customHeight="1" x14ac:dyDescent="0.2">
      <c r="C153" s="171"/>
      <c r="D153" s="171"/>
      <c r="E153" s="171"/>
      <c r="F153" s="171"/>
      <c r="G153" s="171"/>
      <c r="H153" s="171"/>
      <c r="I153" s="171"/>
      <c r="J153" s="171"/>
      <c r="K153" s="171"/>
      <c r="L153" s="171"/>
    </row>
    <row r="154" spans="3:12" ht="15.75" customHeight="1" x14ac:dyDescent="0.2">
      <c r="C154" s="171"/>
      <c r="D154" s="171"/>
      <c r="E154" s="171"/>
      <c r="F154" s="171"/>
      <c r="G154" s="171"/>
      <c r="H154" s="171"/>
      <c r="I154" s="171"/>
      <c r="J154" s="171"/>
      <c r="K154" s="171"/>
      <c r="L154" s="171"/>
    </row>
    <row r="155" spans="3:12" ht="15.75" customHeight="1" x14ac:dyDescent="0.2">
      <c r="C155" s="171"/>
      <c r="D155" s="171"/>
      <c r="E155" s="171"/>
      <c r="F155" s="171"/>
      <c r="G155" s="171"/>
      <c r="H155" s="171"/>
      <c r="I155" s="171"/>
      <c r="J155" s="171"/>
      <c r="K155" s="171"/>
      <c r="L155" s="171"/>
    </row>
    <row r="156" spans="3:12" ht="15.75" customHeight="1" x14ac:dyDescent="0.2">
      <c r="C156" s="171"/>
      <c r="D156" s="171"/>
      <c r="E156" s="171"/>
      <c r="F156" s="171"/>
      <c r="G156" s="171"/>
      <c r="H156" s="171"/>
      <c r="I156" s="171"/>
      <c r="J156" s="171"/>
      <c r="K156" s="171"/>
      <c r="L156" s="171"/>
    </row>
    <row r="157" spans="3:12" ht="15.75" customHeight="1" x14ac:dyDescent="0.2">
      <c r="C157" s="171"/>
      <c r="D157" s="171"/>
      <c r="E157" s="171"/>
      <c r="F157" s="171"/>
      <c r="G157" s="171"/>
      <c r="H157" s="171"/>
      <c r="I157" s="171"/>
      <c r="J157" s="171"/>
      <c r="K157" s="171"/>
      <c r="L157" s="171"/>
    </row>
    <row r="158" spans="3:12" ht="15.75" customHeight="1" x14ac:dyDescent="0.2">
      <c r="C158" s="171"/>
      <c r="D158" s="171"/>
      <c r="E158" s="171"/>
      <c r="F158" s="171"/>
      <c r="G158" s="171"/>
      <c r="H158" s="171"/>
      <c r="I158" s="171"/>
      <c r="J158" s="171"/>
      <c r="K158" s="171"/>
      <c r="L158" s="171"/>
    </row>
    <row r="159" spans="3:12" ht="15.75" customHeight="1" x14ac:dyDescent="0.2">
      <c r="C159" s="171"/>
      <c r="D159" s="171"/>
      <c r="E159" s="171"/>
      <c r="F159" s="171"/>
      <c r="G159" s="171"/>
      <c r="H159" s="171"/>
      <c r="I159" s="171"/>
      <c r="J159" s="171"/>
      <c r="K159" s="171"/>
      <c r="L159" s="171"/>
    </row>
    <row r="160" spans="3:12" ht="15.75" customHeight="1" x14ac:dyDescent="0.2">
      <c r="C160" s="171"/>
      <c r="D160" s="171"/>
      <c r="E160" s="171"/>
      <c r="F160" s="171"/>
      <c r="G160" s="171"/>
      <c r="H160" s="171"/>
      <c r="I160" s="171"/>
      <c r="J160" s="171"/>
      <c r="K160" s="171"/>
      <c r="L160" s="171"/>
    </row>
    <row r="161" spans="3:12" ht="15.75" customHeight="1" x14ac:dyDescent="0.2">
      <c r="C161" s="171"/>
      <c r="D161" s="171"/>
      <c r="E161" s="171"/>
      <c r="F161" s="171"/>
      <c r="G161" s="171"/>
      <c r="H161" s="171"/>
      <c r="I161" s="171"/>
      <c r="J161" s="171"/>
      <c r="K161" s="171"/>
      <c r="L161" s="171"/>
    </row>
    <row r="162" spans="3:12" ht="15.75" customHeight="1" x14ac:dyDescent="0.2">
      <c r="C162" s="171"/>
      <c r="D162" s="171"/>
      <c r="E162" s="171"/>
      <c r="F162" s="171"/>
      <c r="G162" s="171"/>
      <c r="H162" s="171"/>
      <c r="I162" s="171"/>
      <c r="J162" s="171"/>
      <c r="K162" s="171"/>
      <c r="L162" s="171"/>
    </row>
    <row r="163" spans="3:12" ht="15.75" customHeight="1" x14ac:dyDescent="0.2">
      <c r="C163" s="171"/>
      <c r="D163" s="171"/>
      <c r="E163" s="171"/>
      <c r="F163" s="171"/>
      <c r="G163" s="171"/>
      <c r="H163" s="171"/>
      <c r="I163" s="171"/>
      <c r="J163" s="171"/>
      <c r="K163" s="171"/>
      <c r="L163" s="171"/>
    </row>
    <row r="164" spans="3:12" ht="15.75" customHeight="1" x14ac:dyDescent="0.2"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</row>
    <row r="165" spans="3:12" ht="15.75" customHeight="1" x14ac:dyDescent="0.2">
      <c r="C165" s="171"/>
      <c r="D165" s="171"/>
      <c r="E165" s="171"/>
      <c r="F165" s="171"/>
      <c r="G165" s="171"/>
      <c r="H165" s="171"/>
      <c r="I165" s="171"/>
      <c r="J165" s="171"/>
      <c r="K165" s="171"/>
      <c r="L165" s="171"/>
    </row>
    <row r="166" spans="3:12" ht="15.75" customHeight="1" x14ac:dyDescent="0.2">
      <c r="C166" s="171"/>
      <c r="D166" s="171"/>
      <c r="E166" s="171"/>
      <c r="F166" s="171"/>
      <c r="G166" s="171"/>
      <c r="H166" s="171"/>
      <c r="I166" s="171"/>
      <c r="J166" s="171"/>
      <c r="K166" s="171"/>
      <c r="L166" s="171"/>
    </row>
    <row r="167" spans="3:12" ht="15.75" customHeight="1" x14ac:dyDescent="0.2">
      <c r="C167" s="171"/>
      <c r="D167" s="171"/>
      <c r="E167" s="171"/>
      <c r="F167" s="171"/>
      <c r="G167" s="171"/>
      <c r="H167" s="171"/>
      <c r="I167" s="171"/>
      <c r="J167" s="171"/>
      <c r="K167" s="171"/>
      <c r="L167" s="171"/>
    </row>
    <row r="168" spans="3:12" ht="15.75" customHeight="1" x14ac:dyDescent="0.2">
      <c r="C168" s="171"/>
      <c r="D168" s="171"/>
      <c r="E168" s="171"/>
      <c r="F168" s="171"/>
      <c r="G168" s="171"/>
      <c r="H168" s="171"/>
      <c r="I168" s="171"/>
      <c r="J168" s="171"/>
      <c r="K168" s="171"/>
      <c r="L168" s="171"/>
    </row>
    <row r="169" spans="3:12" ht="15.75" customHeight="1" x14ac:dyDescent="0.2">
      <c r="C169" s="171"/>
      <c r="D169" s="171"/>
      <c r="E169" s="171"/>
      <c r="F169" s="171"/>
      <c r="G169" s="171"/>
      <c r="H169" s="171"/>
      <c r="I169" s="171"/>
      <c r="J169" s="171"/>
      <c r="K169" s="171"/>
      <c r="L169" s="171"/>
    </row>
    <row r="170" spans="3:12" ht="15.75" customHeight="1" x14ac:dyDescent="0.2">
      <c r="C170" s="171"/>
      <c r="D170" s="171"/>
      <c r="E170" s="171"/>
      <c r="F170" s="171"/>
      <c r="G170" s="171"/>
      <c r="H170" s="171"/>
      <c r="I170" s="171"/>
      <c r="J170" s="171"/>
      <c r="K170" s="171"/>
      <c r="L170" s="171"/>
    </row>
    <row r="171" spans="3:12" ht="15.75" customHeight="1" x14ac:dyDescent="0.2">
      <c r="C171" s="171"/>
      <c r="D171" s="171"/>
      <c r="E171" s="171"/>
      <c r="F171" s="171"/>
      <c r="G171" s="171"/>
      <c r="H171" s="171"/>
      <c r="I171" s="171"/>
      <c r="J171" s="171"/>
      <c r="K171" s="171"/>
      <c r="L171" s="171"/>
    </row>
    <row r="172" spans="3:12" ht="15.75" customHeight="1" x14ac:dyDescent="0.2">
      <c r="C172" s="171"/>
      <c r="D172" s="171"/>
      <c r="E172" s="171"/>
      <c r="F172" s="171"/>
      <c r="G172" s="171"/>
      <c r="H172" s="171"/>
      <c r="I172" s="171"/>
      <c r="J172" s="171"/>
      <c r="K172" s="171"/>
      <c r="L172" s="171"/>
    </row>
    <row r="173" spans="3:12" ht="15.75" customHeight="1" x14ac:dyDescent="0.2"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</row>
    <row r="174" spans="3:12" ht="15.75" customHeight="1" x14ac:dyDescent="0.2">
      <c r="C174" s="171"/>
      <c r="D174" s="171"/>
      <c r="E174" s="171"/>
      <c r="F174" s="171"/>
      <c r="G174" s="171"/>
      <c r="H174" s="171"/>
      <c r="I174" s="171"/>
      <c r="J174" s="171"/>
      <c r="K174" s="171"/>
      <c r="L174" s="171"/>
    </row>
    <row r="175" spans="3:12" ht="15.75" customHeight="1" x14ac:dyDescent="0.2">
      <c r="C175" s="171"/>
      <c r="D175" s="171"/>
      <c r="E175" s="171"/>
      <c r="F175" s="171"/>
      <c r="G175" s="171"/>
      <c r="H175" s="171"/>
      <c r="I175" s="171"/>
      <c r="J175" s="171"/>
      <c r="K175" s="171"/>
      <c r="L175" s="171"/>
    </row>
    <row r="176" spans="3:12" ht="15.75" customHeight="1" x14ac:dyDescent="0.2">
      <c r="C176" s="171"/>
      <c r="D176" s="171"/>
      <c r="E176" s="171"/>
      <c r="F176" s="171"/>
      <c r="G176" s="171"/>
      <c r="H176" s="171"/>
      <c r="I176" s="171"/>
      <c r="J176" s="171"/>
      <c r="K176" s="171"/>
      <c r="L176" s="171"/>
    </row>
    <row r="177" spans="3:12" ht="15.75" customHeight="1" x14ac:dyDescent="0.2">
      <c r="C177" s="171"/>
      <c r="D177" s="171"/>
      <c r="E177" s="171"/>
      <c r="F177" s="171"/>
      <c r="G177" s="171"/>
      <c r="H177" s="171"/>
      <c r="I177" s="171"/>
      <c r="J177" s="171"/>
      <c r="K177" s="171"/>
      <c r="L177" s="171"/>
    </row>
    <row r="178" spans="3:12" ht="15.75" customHeight="1" x14ac:dyDescent="0.2">
      <c r="C178" s="171"/>
      <c r="D178" s="171"/>
      <c r="E178" s="171"/>
      <c r="F178" s="171"/>
      <c r="G178" s="171"/>
      <c r="H178" s="171"/>
      <c r="I178" s="171"/>
      <c r="J178" s="171"/>
      <c r="K178" s="171"/>
      <c r="L178" s="171"/>
    </row>
    <row r="179" spans="3:12" ht="15.75" customHeight="1" x14ac:dyDescent="0.2"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</row>
    <row r="180" spans="3:12" ht="15.75" customHeight="1" x14ac:dyDescent="0.2"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</row>
    <row r="181" spans="3:12" ht="15.75" customHeight="1" x14ac:dyDescent="0.2">
      <c r="C181" s="171"/>
      <c r="D181" s="171"/>
      <c r="E181" s="171"/>
      <c r="F181" s="171"/>
      <c r="G181" s="171"/>
      <c r="H181" s="171"/>
      <c r="I181" s="171"/>
      <c r="J181" s="171"/>
      <c r="K181" s="171"/>
      <c r="L181" s="171"/>
    </row>
    <row r="182" spans="3:12" ht="15.75" customHeight="1" x14ac:dyDescent="0.2">
      <c r="C182" s="171"/>
      <c r="D182" s="171"/>
      <c r="E182" s="171"/>
      <c r="F182" s="171"/>
      <c r="G182" s="171"/>
      <c r="H182" s="171"/>
      <c r="I182" s="171"/>
      <c r="J182" s="171"/>
      <c r="K182" s="171"/>
      <c r="L182" s="171"/>
    </row>
    <row r="183" spans="3:12" ht="15.75" customHeight="1" x14ac:dyDescent="0.2">
      <c r="C183" s="171"/>
      <c r="D183" s="171"/>
      <c r="E183" s="171"/>
      <c r="F183" s="171"/>
      <c r="G183" s="171"/>
      <c r="H183" s="171"/>
      <c r="I183" s="171"/>
      <c r="J183" s="171"/>
      <c r="K183" s="171"/>
      <c r="L183" s="171"/>
    </row>
    <row r="184" spans="3:12" ht="15.75" customHeight="1" x14ac:dyDescent="0.2"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</row>
    <row r="185" spans="3:12" ht="15.75" customHeight="1" x14ac:dyDescent="0.2"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</row>
    <row r="186" spans="3:12" ht="15.75" customHeight="1" x14ac:dyDescent="0.2">
      <c r="C186" s="171"/>
      <c r="D186" s="171"/>
      <c r="E186" s="171"/>
      <c r="F186" s="171"/>
      <c r="G186" s="171"/>
      <c r="H186" s="171"/>
      <c r="I186" s="171"/>
      <c r="J186" s="171"/>
      <c r="K186" s="171"/>
      <c r="L186" s="171"/>
    </row>
    <row r="187" spans="3:12" ht="15.75" customHeight="1" x14ac:dyDescent="0.2">
      <c r="C187" s="171"/>
      <c r="D187" s="171"/>
      <c r="E187" s="171"/>
      <c r="F187" s="171"/>
      <c r="G187" s="171"/>
      <c r="H187" s="171"/>
      <c r="I187" s="171"/>
      <c r="J187" s="171"/>
      <c r="K187" s="171"/>
      <c r="L187" s="171"/>
    </row>
    <row r="188" spans="3:12" ht="15.75" customHeight="1" x14ac:dyDescent="0.2"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</row>
    <row r="189" spans="3:12" ht="15.75" customHeight="1" x14ac:dyDescent="0.2"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</row>
    <row r="190" spans="3:12" ht="15.75" customHeight="1" x14ac:dyDescent="0.2">
      <c r="C190" s="171"/>
      <c r="D190" s="171"/>
      <c r="E190" s="171"/>
      <c r="F190" s="171"/>
      <c r="G190" s="171"/>
      <c r="H190" s="171"/>
      <c r="I190" s="171"/>
      <c r="J190" s="171"/>
      <c r="K190" s="171"/>
      <c r="L190" s="171"/>
    </row>
    <row r="191" spans="3:12" ht="15.75" customHeight="1" x14ac:dyDescent="0.2"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</row>
    <row r="192" spans="3:12" ht="15.75" customHeight="1" x14ac:dyDescent="0.2">
      <c r="C192" s="171"/>
      <c r="D192" s="171"/>
      <c r="E192" s="171"/>
      <c r="F192" s="171"/>
      <c r="G192" s="171"/>
      <c r="H192" s="171"/>
      <c r="I192" s="171"/>
      <c r="J192" s="171"/>
      <c r="K192" s="171"/>
      <c r="L192" s="171"/>
    </row>
    <row r="193" spans="3:12" ht="15.75" customHeight="1" x14ac:dyDescent="0.2"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</row>
    <row r="194" spans="3:12" ht="15.75" customHeight="1" x14ac:dyDescent="0.2">
      <c r="C194" s="171"/>
      <c r="D194" s="171"/>
      <c r="E194" s="171"/>
      <c r="F194" s="171"/>
      <c r="G194" s="171"/>
      <c r="H194" s="171"/>
      <c r="I194" s="171"/>
      <c r="J194" s="171"/>
      <c r="K194" s="171"/>
      <c r="L194" s="171"/>
    </row>
    <row r="195" spans="3:12" ht="15.75" customHeight="1" x14ac:dyDescent="0.2">
      <c r="C195" s="171"/>
      <c r="D195" s="171"/>
      <c r="E195" s="171"/>
      <c r="F195" s="171"/>
      <c r="G195" s="171"/>
      <c r="H195" s="171"/>
      <c r="I195" s="171"/>
      <c r="J195" s="171"/>
      <c r="K195" s="171"/>
      <c r="L195" s="171"/>
    </row>
    <row r="196" spans="3:12" ht="15.75" customHeight="1" x14ac:dyDescent="0.2">
      <c r="C196" s="171"/>
      <c r="D196" s="171"/>
      <c r="E196" s="171"/>
      <c r="F196" s="171"/>
      <c r="G196" s="171"/>
      <c r="H196" s="171"/>
      <c r="I196" s="171"/>
      <c r="J196" s="171"/>
      <c r="K196" s="171"/>
      <c r="L196" s="171"/>
    </row>
    <row r="197" spans="3:12" ht="15.75" customHeight="1" x14ac:dyDescent="0.2">
      <c r="C197" s="171"/>
      <c r="D197" s="171"/>
      <c r="E197" s="171"/>
      <c r="F197" s="171"/>
      <c r="G197" s="171"/>
      <c r="H197" s="171"/>
      <c r="I197" s="171"/>
      <c r="J197" s="171"/>
      <c r="K197" s="171"/>
      <c r="L197" s="171"/>
    </row>
    <row r="198" spans="3:12" ht="15.75" customHeight="1" x14ac:dyDescent="0.2"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</row>
    <row r="199" spans="3:12" ht="15.75" customHeight="1" x14ac:dyDescent="0.2"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</row>
    <row r="200" spans="3:12" ht="15.75" customHeight="1" x14ac:dyDescent="0.2"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</row>
    <row r="201" spans="3:12" ht="15.75" customHeight="1" x14ac:dyDescent="0.2">
      <c r="C201" s="171"/>
      <c r="D201" s="171"/>
      <c r="E201" s="171"/>
      <c r="F201" s="171"/>
      <c r="G201" s="171"/>
      <c r="H201" s="171"/>
      <c r="I201" s="171"/>
      <c r="J201" s="171"/>
      <c r="K201" s="171"/>
      <c r="L201" s="171"/>
    </row>
    <row r="202" spans="3:12" ht="15.75" customHeight="1" x14ac:dyDescent="0.2"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</row>
    <row r="203" spans="3:12" ht="15.75" customHeight="1" x14ac:dyDescent="0.2">
      <c r="C203" s="171"/>
      <c r="D203" s="171"/>
      <c r="E203" s="171"/>
      <c r="F203" s="171"/>
      <c r="G203" s="171"/>
      <c r="H203" s="171"/>
      <c r="I203" s="171"/>
      <c r="J203" s="171"/>
      <c r="K203" s="171"/>
      <c r="L203" s="171"/>
    </row>
    <row r="204" spans="3:12" ht="15.75" customHeight="1" x14ac:dyDescent="0.2">
      <c r="C204" s="171"/>
      <c r="D204" s="171"/>
      <c r="E204" s="171"/>
      <c r="F204" s="171"/>
      <c r="G204" s="171"/>
      <c r="H204" s="171"/>
      <c r="I204" s="171"/>
      <c r="J204" s="171"/>
      <c r="K204" s="171"/>
      <c r="L204" s="171"/>
    </row>
    <row r="205" spans="3:12" ht="15.75" customHeight="1" x14ac:dyDescent="0.2"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</row>
    <row r="206" spans="3:12" ht="15.75" customHeight="1" x14ac:dyDescent="0.2"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</row>
    <row r="207" spans="3:12" ht="15.75" customHeight="1" x14ac:dyDescent="0.2">
      <c r="C207" s="171"/>
      <c r="D207" s="171"/>
      <c r="E207" s="171"/>
      <c r="F207" s="171"/>
      <c r="G207" s="171"/>
      <c r="H207" s="171"/>
      <c r="I207" s="171"/>
      <c r="J207" s="171"/>
      <c r="K207" s="171"/>
      <c r="L207" s="171"/>
    </row>
    <row r="208" spans="3:12" ht="15.75" customHeight="1" x14ac:dyDescent="0.2">
      <c r="C208" s="171"/>
      <c r="D208" s="171"/>
      <c r="E208" s="171"/>
      <c r="F208" s="171"/>
      <c r="G208" s="171"/>
      <c r="H208" s="171"/>
      <c r="I208" s="171"/>
      <c r="J208" s="171"/>
      <c r="K208" s="171"/>
      <c r="L208" s="171"/>
    </row>
    <row r="209" spans="3:12" ht="15.75" customHeight="1" x14ac:dyDescent="0.2">
      <c r="C209" s="171"/>
      <c r="D209" s="171"/>
      <c r="E209" s="171"/>
      <c r="F209" s="171"/>
      <c r="G209" s="171"/>
      <c r="H209" s="171"/>
      <c r="I209" s="171"/>
      <c r="J209" s="171"/>
      <c r="K209" s="171"/>
      <c r="L209" s="171"/>
    </row>
    <row r="210" spans="3:12" ht="15.75" customHeight="1" x14ac:dyDescent="0.2">
      <c r="C210" s="171"/>
      <c r="D210" s="171"/>
      <c r="E210" s="171"/>
      <c r="F210" s="171"/>
      <c r="G210" s="171"/>
      <c r="H210" s="171"/>
      <c r="I210" s="171"/>
      <c r="J210" s="171"/>
      <c r="K210" s="171"/>
      <c r="L210" s="171"/>
    </row>
    <row r="211" spans="3:12" ht="15.75" customHeight="1" x14ac:dyDescent="0.2">
      <c r="C211" s="171"/>
      <c r="D211" s="171"/>
      <c r="E211" s="171"/>
      <c r="F211" s="171"/>
      <c r="G211" s="171"/>
      <c r="H211" s="171"/>
      <c r="I211" s="171"/>
      <c r="J211" s="171"/>
      <c r="K211" s="171"/>
      <c r="L211" s="171"/>
    </row>
    <row r="212" spans="3:12" ht="15.75" customHeight="1" x14ac:dyDescent="0.2">
      <c r="C212" s="171"/>
      <c r="D212" s="171"/>
      <c r="E212" s="171"/>
      <c r="F212" s="171"/>
      <c r="G212" s="171"/>
      <c r="H212" s="171"/>
      <c r="I212" s="171"/>
      <c r="J212" s="171"/>
      <c r="K212" s="171"/>
      <c r="L212" s="171"/>
    </row>
    <row r="213" spans="3:12" ht="15.75" customHeight="1" x14ac:dyDescent="0.2">
      <c r="C213" s="171"/>
      <c r="D213" s="171"/>
      <c r="E213" s="171"/>
      <c r="F213" s="171"/>
      <c r="G213" s="171"/>
      <c r="H213" s="171"/>
      <c r="I213" s="171"/>
      <c r="J213" s="171"/>
      <c r="K213" s="171"/>
      <c r="L213" s="171"/>
    </row>
    <row r="214" spans="3:12" ht="15.75" customHeight="1" x14ac:dyDescent="0.2">
      <c r="C214" s="171"/>
      <c r="D214" s="171"/>
      <c r="E214" s="171"/>
      <c r="F214" s="171"/>
      <c r="G214" s="171"/>
      <c r="H214" s="171"/>
      <c r="I214" s="171"/>
      <c r="J214" s="171"/>
      <c r="K214" s="171"/>
      <c r="L214" s="171"/>
    </row>
    <row r="215" spans="3:12" ht="15.75" customHeight="1" x14ac:dyDescent="0.2">
      <c r="C215" s="171"/>
      <c r="D215" s="171"/>
      <c r="E215" s="171"/>
      <c r="F215" s="171"/>
      <c r="G215" s="171"/>
      <c r="H215" s="171"/>
      <c r="I215" s="171"/>
      <c r="J215" s="171"/>
      <c r="K215" s="171"/>
      <c r="L215" s="171"/>
    </row>
    <row r="216" spans="3:12" ht="15.75" customHeight="1" x14ac:dyDescent="0.2">
      <c r="C216" s="171"/>
      <c r="D216" s="171"/>
      <c r="E216" s="171"/>
      <c r="F216" s="171"/>
      <c r="G216" s="171"/>
      <c r="H216" s="171"/>
      <c r="I216" s="171"/>
      <c r="J216" s="171"/>
      <c r="K216" s="171"/>
      <c r="L216" s="171"/>
    </row>
    <row r="217" spans="3:12" ht="15.75" customHeight="1" x14ac:dyDescent="0.2">
      <c r="C217" s="171"/>
      <c r="D217" s="171"/>
      <c r="E217" s="171"/>
      <c r="F217" s="171"/>
      <c r="G217" s="171"/>
      <c r="H217" s="171"/>
      <c r="I217" s="171"/>
      <c r="J217" s="171"/>
      <c r="K217" s="171"/>
      <c r="L217" s="171"/>
    </row>
    <row r="218" spans="3:12" ht="15.75" customHeight="1" x14ac:dyDescent="0.2">
      <c r="C218" s="171"/>
      <c r="D218" s="171"/>
      <c r="E218" s="171"/>
      <c r="F218" s="171"/>
      <c r="G218" s="171"/>
      <c r="H218" s="171"/>
      <c r="I218" s="171"/>
      <c r="J218" s="171"/>
      <c r="K218" s="171"/>
      <c r="L218" s="171"/>
    </row>
    <row r="219" spans="3:12" ht="15.75" customHeight="1" x14ac:dyDescent="0.2">
      <c r="C219" s="171"/>
      <c r="D219" s="171"/>
      <c r="E219" s="171"/>
      <c r="F219" s="171"/>
      <c r="G219" s="171"/>
      <c r="H219" s="171"/>
      <c r="I219" s="171"/>
      <c r="J219" s="171"/>
      <c r="K219" s="171"/>
      <c r="L219" s="171"/>
    </row>
    <row r="220" spans="3:12" ht="15.75" customHeight="1" x14ac:dyDescent="0.2">
      <c r="C220" s="171"/>
      <c r="D220" s="171"/>
      <c r="E220" s="171"/>
      <c r="F220" s="171"/>
      <c r="G220" s="171"/>
      <c r="H220" s="171"/>
      <c r="I220" s="171"/>
      <c r="J220" s="171"/>
      <c r="K220" s="171"/>
      <c r="L220" s="171"/>
    </row>
    <row r="221" spans="3:12" ht="15.75" customHeight="1" x14ac:dyDescent="0.2">
      <c r="C221" s="171"/>
      <c r="D221" s="171"/>
      <c r="E221" s="171"/>
      <c r="F221" s="171"/>
      <c r="G221" s="171"/>
      <c r="H221" s="171"/>
      <c r="I221" s="171"/>
      <c r="J221" s="171"/>
      <c r="K221" s="171"/>
      <c r="L221" s="171"/>
    </row>
    <row r="222" spans="3:12" ht="15.75" customHeight="1" x14ac:dyDescent="0.2">
      <c r="C222" s="171"/>
      <c r="D222" s="171"/>
      <c r="E222" s="171"/>
      <c r="F222" s="171"/>
      <c r="G222" s="171"/>
      <c r="H222" s="171"/>
      <c r="I222" s="171"/>
      <c r="J222" s="171"/>
      <c r="K222" s="171"/>
      <c r="L222" s="171"/>
    </row>
    <row r="223" spans="3:12" ht="15.75" customHeight="1" x14ac:dyDescent="0.2">
      <c r="C223" s="171"/>
      <c r="D223" s="171"/>
      <c r="E223" s="171"/>
      <c r="F223" s="171"/>
      <c r="G223" s="171"/>
      <c r="H223" s="171"/>
      <c r="I223" s="171"/>
      <c r="J223" s="171"/>
      <c r="K223" s="171"/>
      <c r="L223" s="171"/>
    </row>
    <row r="224" spans="3:12" ht="15.75" customHeight="1" x14ac:dyDescent="0.2">
      <c r="C224" s="171"/>
      <c r="D224" s="171"/>
      <c r="E224" s="171"/>
      <c r="F224" s="171"/>
      <c r="G224" s="171"/>
      <c r="H224" s="171"/>
      <c r="I224" s="171"/>
      <c r="J224" s="171"/>
      <c r="K224" s="171"/>
      <c r="L224" s="171"/>
    </row>
    <row r="225" spans="3:12" ht="15.75" customHeight="1" x14ac:dyDescent="0.2">
      <c r="C225" s="171"/>
      <c r="D225" s="171"/>
      <c r="E225" s="171"/>
      <c r="F225" s="171"/>
      <c r="G225" s="171"/>
      <c r="H225" s="171"/>
      <c r="I225" s="171"/>
      <c r="J225" s="171"/>
      <c r="K225" s="171"/>
      <c r="L225" s="171"/>
    </row>
    <row r="226" spans="3:12" ht="15.75" customHeight="1" x14ac:dyDescent="0.2">
      <c r="C226" s="171"/>
      <c r="D226" s="171"/>
      <c r="E226" s="171"/>
      <c r="F226" s="171"/>
      <c r="G226" s="171"/>
      <c r="H226" s="171"/>
      <c r="I226" s="171"/>
      <c r="J226" s="171"/>
      <c r="K226" s="171"/>
      <c r="L226" s="171"/>
    </row>
    <row r="227" spans="3:12" ht="15.75" customHeight="1" x14ac:dyDescent="0.2">
      <c r="C227" s="171"/>
      <c r="D227" s="171"/>
      <c r="E227" s="171"/>
      <c r="F227" s="171"/>
      <c r="G227" s="171"/>
      <c r="H227" s="171"/>
      <c r="I227" s="171"/>
      <c r="J227" s="171"/>
      <c r="K227" s="171"/>
      <c r="L227" s="171"/>
    </row>
    <row r="228" spans="3:12" ht="15.75" customHeight="1" x14ac:dyDescent="0.2">
      <c r="C228" s="171"/>
      <c r="D228" s="171"/>
      <c r="E228" s="171"/>
      <c r="F228" s="171"/>
      <c r="G228" s="171"/>
      <c r="H228" s="171"/>
      <c r="I228" s="171"/>
      <c r="J228" s="171"/>
      <c r="K228" s="171"/>
      <c r="L228" s="171"/>
    </row>
    <row r="229" spans="3:12" ht="15.75" customHeight="1" x14ac:dyDescent="0.2">
      <c r="C229" s="171"/>
      <c r="D229" s="171"/>
      <c r="E229" s="171"/>
      <c r="F229" s="171"/>
      <c r="G229" s="171"/>
      <c r="H229" s="171"/>
      <c r="I229" s="171"/>
      <c r="J229" s="171"/>
      <c r="K229" s="171"/>
      <c r="L229" s="171"/>
    </row>
    <row r="230" spans="3:12" ht="15.75" customHeight="1" x14ac:dyDescent="0.2">
      <c r="C230" s="171"/>
      <c r="D230" s="171"/>
      <c r="E230" s="171"/>
      <c r="F230" s="171"/>
      <c r="G230" s="171"/>
      <c r="H230" s="171"/>
      <c r="I230" s="171"/>
      <c r="J230" s="171"/>
      <c r="K230" s="171"/>
      <c r="L230" s="171"/>
    </row>
    <row r="231" spans="3:12" ht="15.75" customHeight="1" x14ac:dyDescent="0.2">
      <c r="C231" s="171"/>
      <c r="D231" s="171"/>
      <c r="E231" s="171"/>
      <c r="F231" s="171"/>
      <c r="G231" s="171"/>
      <c r="H231" s="171"/>
      <c r="I231" s="171"/>
      <c r="J231" s="171"/>
      <c r="K231" s="171"/>
      <c r="L231" s="171"/>
    </row>
    <row r="232" spans="3:12" ht="15.75" customHeight="1" x14ac:dyDescent="0.2">
      <c r="C232" s="171"/>
      <c r="D232" s="171"/>
      <c r="E232" s="171"/>
      <c r="F232" s="171"/>
      <c r="G232" s="171"/>
      <c r="H232" s="171"/>
      <c r="I232" s="171"/>
      <c r="J232" s="171"/>
      <c r="K232" s="171"/>
      <c r="L232" s="171"/>
    </row>
    <row r="233" spans="3:12" ht="15.75" customHeight="1" x14ac:dyDescent="0.2">
      <c r="C233" s="171"/>
      <c r="D233" s="171"/>
      <c r="E233" s="171"/>
      <c r="F233" s="171"/>
      <c r="G233" s="171"/>
      <c r="H233" s="171"/>
      <c r="I233" s="171"/>
      <c r="J233" s="171"/>
      <c r="K233" s="171"/>
      <c r="L233" s="171"/>
    </row>
    <row r="234" spans="3:12" ht="15.75" customHeight="1" x14ac:dyDescent="0.2">
      <c r="C234" s="171"/>
      <c r="D234" s="171"/>
      <c r="E234" s="171"/>
      <c r="F234" s="171"/>
      <c r="G234" s="171"/>
      <c r="H234" s="171"/>
      <c r="I234" s="171"/>
      <c r="J234" s="171"/>
      <c r="K234" s="171"/>
      <c r="L234" s="171"/>
    </row>
    <row r="235" spans="3:12" ht="15.75" customHeight="1" x14ac:dyDescent="0.2">
      <c r="C235" s="171"/>
      <c r="D235" s="171"/>
      <c r="E235" s="171"/>
      <c r="F235" s="171"/>
      <c r="G235" s="171"/>
      <c r="H235" s="171"/>
      <c r="I235" s="171"/>
      <c r="J235" s="171"/>
      <c r="K235" s="171"/>
      <c r="L235" s="171"/>
    </row>
    <row r="236" spans="3:12" ht="15.75" customHeight="1" x14ac:dyDescent="0.2">
      <c r="C236" s="171"/>
      <c r="D236" s="171"/>
      <c r="E236" s="171"/>
      <c r="F236" s="171"/>
      <c r="G236" s="171"/>
      <c r="H236" s="171"/>
      <c r="I236" s="171"/>
      <c r="J236" s="171"/>
      <c r="K236" s="171"/>
      <c r="L236" s="171"/>
    </row>
    <row r="237" spans="3:12" ht="15.75" customHeight="1" x14ac:dyDescent="0.2"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</row>
    <row r="238" spans="3:12" ht="15.75" customHeight="1" x14ac:dyDescent="0.2"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</row>
    <row r="239" spans="3:12" ht="15.75" customHeight="1" x14ac:dyDescent="0.2"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</row>
    <row r="240" spans="3:12" ht="15.75" customHeight="1" x14ac:dyDescent="0.2"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</row>
    <row r="241" spans="3:12" ht="15.75" customHeight="1" x14ac:dyDescent="0.2"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</row>
    <row r="242" spans="3:12" ht="15.75" customHeight="1" x14ac:dyDescent="0.2"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</row>
    <row r="243" spans="3:12" ht="15.75" customHeight="1" x14ac:dyDescent="0.2"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</row>
    <row r="244" spans="3:12" ht="15.75" customHeight="1" x14ac:dyDescent="0.2"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</row>
    <row r="245" spans="3:12" ht="15.75" customHeight="1" x14ac:dyDescent="0.2"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</row>
    <row r="246" spans="3:12" ht="15.75" customHeight="1" x14ac:dyDescent="0.2"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</row>
    <row r="247" spans="3:12" ht="15.75" customHeight="1" x14ac:dyDescent="0.2"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</row>
    <row r="248" spans="3:12" ht="15.75" customHeight="1" x14ac:dyDescent="0.2"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</row>
    <row r="249" spans="3:12" ht="15.75" customHeight="1" x14ac:dyDescent="0.2"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</row>
    <row r="250" spans="3:12" ht="15.75" customHeight="1" x14ac:dyDescent="0.2"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</row>
    <row r="251" spans="3:12" ht="15.75" customHeight="1" x14ac:dyDescent="0.2"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</row>
    <row r="252" spans="3:12" ht="15.75" customHeight="1" x14ac:dyDescent="0.2"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</row>
    <row r="253" spans="3:12" ht="15.75" customHeight="1" x14ac:dyDescent="0.2"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</row>
    <row r="254" spans="3:12" ht="15.75" customHeight="1" x14ac:dyDescent="0.2"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</row>
    <row r="255" spans="3:12" ht="15.75" customHeight="1" x14ac:dyDescent="0.2"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</row>
    <row r="256" spans="3:12" ht="15.75" customHeight="1" x14ac:dyDescent="0.2"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</row>
    <row r="257" spans="3:12" ht="15.75" customHeight="1" x14ac:dyDescent="0.2"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</row>
    <row r="258" spans="3:12" ht="15.75" customHeight="1" x14ac:dyDescent="0.2"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</row>
    <row r="259" spans="3:12" ht="15.75" customHeight="1" x14ac:dyDescent="0.2"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</row>
    <row r="260" spans="3:12" ht="15.75" customHeight="1" x14ac:dyDescent="0.2"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</row>
    <row r="261" spans="3:12" ht="15.75" customHeight="1" x14ac:dyDescent="0.2"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</row>
    <row r="262" spans="3:12" ht="15.75" customHeight="1" x14ac:dyDescent="0.2"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</row>
    <row r="263" spans="3:12" ht="15.75" customHeight="1" x14ac:dyDescent="0.2"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</row>
    <row r="264" spans="3:12" ht="15.75" customHeight="1" x14ac:dyDescent="0.2"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</row>
    <row r="265" spans="3:12" ht="15.75" customHeight="1" x14ac:dyDescent="0.2"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</row>
    <row r="266" spans="3:12" ht="15.75" customHeight="1" x14ac:dyDescent="0.2"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</row>
    <row r="267" spans="3:12" ht="15.75" customHeight="1" x14ac:dyDescent="0.2"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</row>
    <row r="268" spans="3:12" ht="15.75" customHeight="1" x14ac:dyDescent="0.2"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</row>
    <row r="269" spans="3:12" ht="15.75" customHeight="1" x14ac:dyDescent="0.2"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</row>
    <row r="270" spans="3:12" ht="15.75" customHeight="1" x14ac:dyDescent="0.2"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</row>
    <row r="271" spans="3:12" ht="15.75" customHeight="1" x14ac:dyDescent="0.2"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</row>
    <row r="272" spans="3:12" ht="15.75" customHeight="1" x14ac:dyDescent="0.2"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</row>
    <row r="273" spans="3:12" ht="15.75" customHeight="1" x14ac:dyDescent="0.2"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</row>
    <row r="274" spans="3:12" ht="15.75" customHeight="1" x14ac:dyDescent="0.2"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</row>
    <row r="275" spans="3:12" ht="15.75" customHeight="1" x14ac:dyDescent="0.2"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</row>
    <row r="276" spans="3:12" ht="15.75" customHeight="1" x14ac:dyDescent="0.2"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</row>
    <row r="277" spans="3:12" ht="15.75" customHeight="1" x14ac:dyDescent="0.2"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</row>
    <row r="278" spans="3:12" ht="15.75" customHeight="1" x14ac:dyDescent="0.2"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</row>
    <row r="279" spans="3:12" ht="15.75" customHeight="1" x14ac:dyDescent="0.2"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</row>
    <row r="280" spans="3:12" ht="15.75" customHeight="1" x14ac:dyDescent="0.2"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</row>
    <row r="281" spans="3:12" ht="15.75" customHeight="1" x14ac:dyDescent="0.2"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</row>
    <row r="282" spans="3:12" ht="15.75" customHeight="1" x14ac:dyDescent="0.2"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</row>
    <row r="283" spans="3:12" ht="15.75" customHeight="1" x14ac:dyDescent="0.2"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</row>
    <row r="284" spans="3:12" ht="15.75" customHeight="1" x14ac:dyDescent="0.2"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</row>
    <row r="285" spans="3:12" ht="15.75" customHeight="1" x14ac:dyDescent="0.2"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</row>
    <row r="286" spans="3:12" ht="15.75" customHeight="1" x14ac:dyDescent="0.2"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</row>
    <row r="287" spans="3:12" ht="15.75" customHeight="1" x14ac:dyDescent="0.2"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</row>
    <row r="288" spans="3:12" ht="15.75" customHeight="1" x14ac:dyDescent="0.2"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</row>
    <row r="289" spans="3:12" ht="15.75" customHeight="1" x14ac:dyDescent="0.2"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</row>
    <row r="290" spans="3:12" ht="15.75" customHeight="1" x14ac:dyDescent="0.2"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</row>
    <row r="291" spans="3:12" ht="15.75" customHeight="1" x14ac:dyDescent="0.2"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</row>
    <row r="292" spans="3:12" ht="15.75" customHeight="1" x14ac:dyDescent="0.2"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</row>
    <row r="293" spans="3:12" ht="15.75" customHeight="1" x14ac:dyDescent="0.2"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</row>
    <row r="294" spans="3:12" ht="15.75" customHeight="1" x14ac:dyDescent="0.2"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</row>
    <row r="295" spans="3:12" ht="15.75" customHeight="1" x14ac:dyDescent="0.2"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</row>
    <row r="296" spans="3:12" ht="15.75" customHeight="1" x14ac:dyDescent="0.2"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</row>
    <row r="297" spans="3:12" ht="15.75" customHeight="1" x14ac:dyDescent="0.2"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</row>
    <row r="298" spans="3:12" ht="15.75" customHeight="1" x14ac:dyDescent="0.2"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</row>
    <row r="299" spans="3:12" ht="15.75" customHeight="1" x14ac:dyDescent="0.2"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</row>
    <row r="300" spans="3:12" ht="15.75" customHeight="1" x14ac:dyDescent="0.2"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</row>
    <row r="301" spans="3:12" ht="15.75" customHeight="1" x14ac:dyDescent="0.2"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</row>
    <row r="302" spans="3:12" ht="15.75" customHeight="1" x14ac:dyDescent="0.2"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</row>
    <row r="303" spans="3:12" ht="15.75" customHeight="1" x14ac:dyDescent="0.2"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</row>
    <row r="304" spans="3:12" ht="15.75" customHeight="1" x14ac:dyDescent="0.2"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</row>
    <row r="305" spans="3:12" ht="15.75" customHeight="1" x14ac:dyDescent="0.2"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</row>
    <row r="306" spans="3:12" ht="15.75" customHeight="1" x14ac:dyDescent="0.2"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</row>
    <row r="307" spans="3:12" ht="15.75" customHeight="1" x14ac:dyDescent="0.2"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</row>
    <row r="308" spans="3:12" ht="15.75" customHeight="1" x14ac:dyDescent="0.2"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</row>
    <row r="309" spans="3:12" ht="15.75" customHeight="1" x14ac:dyDescent="0.2"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</row>
    <row r="310" spans="3:12" ht="15.75" customHeight="1" x14ac:dyDescent="0.2"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</row>
    <row r="311" spans="3:12" ht="15.75" customHeight="1" x14ac:dyDescent="0.2"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</row>
    <row r="312" spans="3:12" ht="15.75" customHeight="1" x14ac:dyDescent="0.2"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</row>
    <row r="313" spans="3:12" ht="15.75" customHeight="1" x14ac:dyDescent="0.2"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</row>
    <row r="314" spans="3:12" ht="15.75" customHeight="1" x14ac:dyDescent="0.2"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</row>
    <row r="315" spans="3:12" ht="15.75" customHeight="1" x14ac:dyDescent="0.2"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</row>
    <row r="316" spans="3:12" ht="15.75" customHeight="1" x14ac:dyDescent="0.2"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</row>
    <row r="317" spans="3:12" ht="15.75" customHeight="1" x14ac:dyDescent="0.2"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</row>
    <row r="318" spans="3:12" ht="15.75" customHeight="1" x14ac:dyDescent="0.2"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</row>
    <row r="319" spans="3:12" ht="15.75" customHeight="1" x14ac:dyDescent="0.2"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</row>
    <row r="320" spans="3:12" ht="15.75" customHeight="1" x14ac:dyDescent="0.2"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</row>
    <row r="321" spans="3:12" ht="15.75" customHeight="1" x14ac:dyDescent="0.2"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</row>
    <row r="322" spans="3:12" ht="15.75" customHeight="1" x14ac:dyDescent="0.2"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</row>
    <row r="323" spans="3:12" ht="15.75" customHeight="1" x14ac:dyDescent="0.2"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</row>
    <row r="324" spans="3:12" ht="15.75" customHeight="1" x14ac:dyDescent="0.2"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</row>
    <row r="325" spans="3:12" ht="15.75" customHeight="1" x14ac:dyDescent="0.2"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</row>
    <row r="326" spans="3:12" ht="15.75" customHeight="1" x14ac:dyDescent="0.2"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</row>
    <row r="327" spans="3:12" ht="15.75" customHeight="1" x14ac:dyDescent="0.2"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</row>
    <row r="328" spans="3:12" ht="15.75" customHeight="1" x14ac:dyDescent="0.2"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</row>
    <row r="329" spans="3:12" ht="15.75" customHeight="1" x14ac:dyDescent="0.2"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</row>
    <row r="330" spans="3:12" ht="15.75" customHeight="1" x14ac:dyDescent="0.2"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</row>
    <row r="331" spans="3:12" ht="15.75" customHeight="1" x14ac:dyDescent="0.2"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</row>
    <row r="332" spans="3:12" ht="15.75" customHeight="1" x14ac:dyDescent="0.2"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</row>
    <row r="333" spans="3:12" ht="15.75" customHeight="1" x14ac:dyDescent="0.2"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</row>
    <row r="334" spans="3:12" ht="15.75" customHeight="1" x14ac:dyDescent="0.2"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</row>
    <row r="335" spans="3:12" ht="15.75" customHeight="1" x14ac:dyDescent="0.2"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</row>
    <row r="336" spans="3:12" ht="15.75" customHeight="1" x14ac:dyDescent="0.2"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</row>
    <row r="337" spans="3:12" ht="15.75" customHeight="1" x14ac:dyDescent="0.2"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</row>
    <row r="338" spans="3:12" ht="15.75" customHeight="1" x14ac:dyDescent="0.2"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</row>
    <row r="339" spans="3:12" ht="15.75" customHeight="1" x14ac:dyDescent="0.2"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</row>
    <row r="340" spans="3:12" ht="15.75" customHeight="1" x14ac:dyDescent="0.2"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</row>
    <row r="341" spans="3:12" ht="15.75" customHeight="1" x14ac:dyDescent="0.2"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</row>
    <row r="342" spans="3:12" ht="15.75" customHeight="1" x14ac:dyDescent="0.2"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</row>
    <row r="343" spans="3:12" ht="15.75" customHeight="1" x14ac:dyDescent="0.2"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</row>
    <row r="344" spans="3:12" ht="15.75" customHeight="1" x14ac:dyDescent="0.2"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</row>
    <row r="345" spans="3:12" ht="15.75" customHeight="1" x14ac:dyDescent="0.2"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</row>
    <row r="346" spans="3:12" ht="15.75" customHeight="1" x14ac:dyDescent="0.2"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</row>
    <row r="347" spans="3:12" ht="15.75" customHeight="1" x14ac:dyDescent="0.2"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</row>
    <row r="348" spans="3:12" ht="15.75" customHeight="1" x14ac:dyDescent="0.2"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</row>
    <row r="349" spans="3:12" ht="15.75" customHeight="1" x14ac:dyDescent="0.2"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</row>
    <row r="350" spans="3:12" ht="15.75" customHeight="1" x14ac:dyDescent="0.2"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</row>
    <row r="351" spans="3:12" ht="15.75" customHeight="1" x14ac:dyDescent="0.2"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</row>
    <row r="352" spans="3:12" ht="15.75" customHeight="1" x14ac:dyDescent="0.2"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</row>
    <row r="353" spans="3:12" ht="15.75" customHeight="1" x14ac:dyDescent="0.2"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</row>
    <row r="354" spans="3:12" ht="15.75" customHeight="1" x14ac:dyDescent="0.2"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</row>
    <row r="355" spans="3:12" ht="15.75" customHeight="1" x14ac:dyDescent="0.2"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</row>
    <row r="356" spans="3:12" ht="15.75" customHeight="1" x14ac:dyDescent="0.2"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</row>
    <row r="357" spans="3:12" ht="15.75" customHeight="1" x14ac:dyDescent="0.2"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</row>
    <row r="358" spans="3:12" ht="15.75" customHeight="1" x14ac:dyDescent="0.2"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</row>
    <row r="359" spans="3:12" ht="15.75" customHeight="1" x14ac:dyDescent="0.2"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</row>
    <row r="360" spans="3:12" ht="15.75" customHeight="1" x14ac:dyDescent="0.2"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</row>
    <row r="361" spans="3:12" ht="15.75" customHeight="1" x14ac:dyDescent="0.2"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</row>
    <row r="362" spans="3:12" ht="15.75" customHeight="1" x14ac:dyDescent="0.2">
      <c r="C362" s="171"/>
      <c r="D362" s="171"/>
      <c r="E362" s="171"/>
      <c r="F362" s="171"/>
      <c r="G362" s="171"/>
      <c r="H362" s="171"/>
      <c r="I362" s="171"/>
      <c r="J362" s="171"/>
      <c r="K362" s="171"/>
      <c r="L362" s="171"/>
    </row>
    <row r="363" spans="3:12" ht="15.75" customHeight="1" x14ac:dyDescent="0.2">
      <c r="C363" s="171"/>
      <c r="D363" s="171"/>
      <c r="E363" s="171"/>
      <c r="F363" s="171"/>
      <c r="G363" s="171"/>
      <c r="H363" s="171"/>
      <c r="I363" s="171"/>
      <c r="J363" s="171"/>
      <c r="K363" s="171"/>
      <c r="L363" s="171"/>
    </row>
    <row r="364" spans="3:12" ht="15.75" customHeight="1" x14ac:dyDescent="0.2">
      <c r="C364" s="171"/>
      <c r="D364" s="171"/>
      <c r="E364" s="171"/>
      <c r="F364" s="171"/>
      <c r="G364" s="171"/>
      <c r="H364" s="171"/>
      <c r="I364" s="171"/>
      <c r="J364" s="171"/>
      <c r="K364" s="171"/>
      <c r="L364" s="171"/>
    </row>
    <row r="365" spans="3:12" ht="15.75" customHeight="1" x14ac:dyDescent="0.2">
      <c r="C365" s="171"/>
      <c r="D365" s="171"/>
      <c r="E365" s="171"/>
      <c r="F365" s="171"/>
      <c r="G365" s="171"/>
      <c r="H365" s="171"/>
      <c r="I365" s="171"/>
      <c r="J365" s="171"/>
      <c r="K365" s="171"/>
      <c r="L365" s="171"/>
    </row>
    <row r="366" spans="3:12" ht="15.75" customHeight="1" x14ac:dyDescent="0.2">
      <c r="C366" s="171"/>
      <c r="D366" s="171"/>
      <c r="E366" s="171"/>
      <c r="F366" s="171"/>
      <c r="G366" s="171"/>
      <c r="H366" s="171"/>
      <c r="I366" s="171"/>
      <c r="J366" s="171"/>
      <c r="K366" s="171"/>
      <c r="L366" s="171"/>
    </row>
    <row r="367" spans="3:12" ht="15.75" customHeight="1" x14ac:dyDescent="0.2">
      <c r="C367" s="171"/>
      <c r="D367" s="171"/>
      <c r="E367" s="171"/>
      <c r="F367" s="171"/>
      <c r="G367" s="171"/>
      <c r="H367" s="171"/>
      <c r="I367" s="171"/>
      <c r="J367" s="171"/>
      <c r="K367" s="171"/>
      <c r="L367" s="171"/>
    </row>
    <row r="368" spans="3:12" ht="15.75" customHeight="1" x14ac:dyDescent="0.2">
      <c r="C368" s="171"/>
      <c r="D368" s="171"/>
      <c r="E368" s="171"/>
      <c r="F368" s="171"/>
      <c r="G368" s="171"/>
      <c r="H368" s="171"/>
      <c r="I368" s="171"/>
      <c r="J368" s="171"/>
      <c r="K368" s="171"/>
      <c r="L368" s="171"/>
    </row>
    <row r="369" spans="3:12" ht="15.75" customHeight="1" x14ac:dyDescent="0.2">
      <c r="C369" s="171"/>
      <c r="D369" s="171"/>
      <c r="E369" s="171"/>
      <c r="F369" s="171"/>
      <c r="G369" s="171"/>
      <c r="H369" s="171"/>
      <c r="I369" s="171"/>
      <c r="J369" s="171"/>
      <c r="K369" s="171"/>
      <c r="L369" s="171"/>
    </row>
    <row r="370" spans="3:12" ht="15.75" customHeight="1" x14ac:dyDescent="0.2">
      <c r="C370" s="171"/>
      <c r="D370" s="171"/>
      <c r="E370" s="171"/>
      <c r="F370" s="171"/>
      <c r="G370" s="171"/>
      <c r="H370" s="171"/>
      <c r="I370" s="171"/>
      <c r="J370" s="171"/>
      <c r="K370" s="171"/>
      <c r="L370" s="171"/>
    </row>
    <row r="371" spans="3:12" ht="15.75" customHeight="1" x14ac:dyDescent="0.2">
      <c r="C371" s="171"/>
      <c r="D371" s="171"/>
      <c r="E371" s="171"/>
      <c r="F371" s="171"/>
      <c r="G371" s="171"/>
      <c r="H371" s="171"/>
      <c r="I371" s="171"/>
      <c r="J371" s="171"/>
      <c r="K371" s="171"/>
      <c r="L371" s="171"/>
    </row>
    <row r="372" spans="3:12" ht="15.75" customHeight="1" x14ac:dyDescent="0.2">
      <c r="C372" s="171"/>
      <c r="D372" s="171"/>
      <c r="E372" s="171"/>
      <c r="F372" s="171"/>
      <c r="G372" s="171"/>
      <c r="H372" s="171"/>
      <c r="I372" s="171"/>
      <c r="J372" s="171"/>
      <c r="K372" s="171"/>
      <c r="L372" s="171"/>
    </row>
    <row r="373" spans="3:12" ht="15.75" customHeight="1" x14ac:dyDescent="0.2">
      <c r="C373" s="171"/>
      <c r="D373" s="171"/>
      <c r="E373" s="171"/>
      <c r="F373" s="171"/>
      <c r="G373" s="171"/>
      <c r="H373" s="171"/>
      <c r="I373" s="171"/>
      <c r="J373" s="171"/>
      <c r="K373" s="171"/>
      <c r="L373" s="171"/>
    </row>
    <row r="374" spans="3:12" ht="15.75" customHeight="1" x14ac:dyDescent="0.2">
      <c r="C374" s="171"/>
      <c r="D374" s="171"/>
      <c r="E374" s="171"/>
      <c r="F374" s="171"/>
      <c r="G374" s="171"/>
      <c r="H374" s="171"/>
      <c r="I374" s="171"/>
      <c r="J374" s="171"/>
      <c r="K374" s="171"/>
      <c r="L374" s="171"/>
    </row>
    <row r="375" spans="3:12" ht="15.75" customHeight="1" x14ac:dyDescent="0.2">
      <c r="C375" s="171"/>
      <c r="D375" s="171"/>
      <c r="E375" s="171"/>
      <c r="F375" s="171"/>
      <c r="G375" s="171"/>
      <c r="H375" s="171"/>
      <c r="I375" s="171"/>
      <c r="J375" s="171"/>
      <c r="K375" s="171"/>
      <c r="L375" s="171"/>
    </row>
    <row r="376" spans="3:12" ht="15.75" customHeight="1" x14ac:dyDescent="0.2">
      <c r="C376" s="171"/>
      <c r="D376" s="171"/>
      <c r="E376" s="171"/>
      <c r="F376" s="171"/>
      <c r="G376" s="171"/>
      <c r="H376" s="171"/>
      <c r="I376" s="171"/>
      <c r="J376" s="171"/>
      <c r="K376" s="171"/>
      <c r="L376" s="171"/>
    </row>
    <row r="377" spans="3:12" ht="15.75" customHeight="1" x14ac:dyDescent="0.2">
      <c r="C377" s="171"/>
      <c r="D377" s="171"/>
      <c r="E377" s="171"/>
      <c r="F377" s="171"/>
      <c r="G377" s="171"/>
      <c r="H377" s="171"/>
      <c r="I377" s="171"/>
      <c r="J377" s="171"/>
      <c r="K377" s="171"/>
      <c r="L377" s="171"/>
    </row>
    <row r="378" spans="3:12" ht="15.75" customHeight="1" x14ac:dyDescent="0.2">
      <c r="C378" s="171"/>
      <c r="D378" s="171"/>
      <c r="E378" s="171"/>
      <c r="F378" s="171"/>
      <c r="G378" s="171"/>
      <c r="H378" s="171"/>
      <c r="I378" s="171"/>
      <c r="J378" s="171"/>
      <c r="K378" s="171"/>
      <c r="L378" s="171"/>
    </row>
    <row r="379" spans="3:12" ht="15.75" customHeight="1" x14ac:dyDescent="0.2">
      <c r="C379" s="171"/>
      <c r="D379" s="171"/>
      <c r="E379" s="171"/>
      <c r="F379" s="171"/>
      <c r="G379" s="171"/>
      <c r="H379" s="171"/>
      <c r="I379" s="171"/>
      <c r="J379" s="171"/>
      <c r="K379" s="171"/>
      <c r="L379" s="171"/>
    </row>
    <row r="380" spans="3:12" ht="15.75" customHeight="1" x14ac:dyDescent="0.2">
      <c r="C380" s="171"/>
      <c r="D380" s="171"/>
      <c r="E380" s="171"/>
      <c r="F380" s="171"/>
      <c r="G380" s="171"/>
      <c r="H380" s="171"/>
      <c r="I380" s="171"/>
      <c r="J380" s="171"/>
      <c r="K380" s="171"/>
      <c r="L380" s="171"/>
    </row>
    <row r="381" spans="3:12" ht="15.75" customHeight="1" x14ac:dyDescent="0.2">
      <c r="C381" s="171"/>
      <c r="D381" s="171"/>
      <c r="E381" s="171"/>
      <c r="F381" s="171"/>
      <c r="G381" s="171"/>
      <c r="H381" s="171"/>
      <c r="I381" s="171"/>
      <c r="J381" s="171"/>
      <c r="K381" s="171"/>
      <c r="L381" s="171"/>
    </row>
    <row r="382" spans="3:12" ht="15.75" customHeight="1" x14ac:dyDescent="0.2">
      <c r="C382" s="171"/>
      <c r="D382" s="171"/>
      <c r="E382" s="171"/>
      <c r="F382" s="171"/>
      <c r="G382" s="171"/>
      <c r="H382" s="171"/>
      <c r="I382" s="171"/>
      <c r="J382" s="171"/>
      <c r="K382" s="171"/>
      <c r="L382" s="171"/>
    </row>
    <row r="383" spans="3:12" ht="15.75" customHeight="1" x14ac:dyDescent="0.2">
      <c r="C383" s="171"/>
      <c r="D383" s="171"/>
      <c r="E383" s="171"/>
      <c r="F383" s="171"/>
      <c r="G383" s="171"/>
      <c r="H383" s="171"/>
      <c r="I383" s="171"/>
      <c r="J383" s="171"/>
      <c r="K383" s="171"/>
      <c r="L383" s="171"/>
    </row>
    <row r="384" spans="3:12" ht="15.75" customHeight="1" x14ac:dyDescent="0.2">
      <c r="C384" s="171"/>
      <c r="D384" s="171"/>
      <c r="E384" s="171"/>
      <c r="F384" s="171"/>
      <c r="G384" s="171"/>
      <c r="H384" s="171"/>
      <c r="I384" s="171"/>
      <c r="J384" s="171"/>
      <c r="K384" s="171"/>
      <c r="L384" s="171"/>
    </row>
    <row r="385" spans="3:12" ht="15.75" customHeight="1" x14ac:dyDescent="0.2">
      <c r="C385" s="171"/>
      <c r="D385" s="171"/>
      <c r="E385" s="171"/>
      <c r="F385" s="171"/>
      <c r="G385" s="171"/>
      <c r="H385" s="171"/>
      <c r="I385" s="171"/>
      <c r="J385" s="171"/>
      <c r="K385" s="171"/>
      <c r="L385" s="171"/>
    </row>
    <row r="386" spans="3:12" ht="15.75" customHeight="1" x14ac:dyDescent="0.2">
      <c r="C386" s="171"/>
      <c r="D386" s="171"/>
      <c r="E386" s="171"/>
      <c r="F386" s="171"/>
      <c r="G386" s="171"/>
      <c r="H386" s="171"/>
      <c r="I386" s="171"/>
      <c r="J386" s="171"/>
      <c r="K386" s="171"/>
      <c r="L386" s="171"/>
    </row>
    <row r="387" spans="3:12" ht="15.75" customHeight="1" x14ac:dyDescent="0.2">
      <c r="C387" s="171"/>
      <c r="D387" s="171"/>
      <c r="E387" s="171"/>
      <c r="F387" s="171"/>
      <c r="G387" s="171"/>
      <c r="H387" s="171"/>
      <c r="I387" s="171"/>
      <c r="J387" s="171"/>
      <c r="K387" s="171"/>
      <c r="L387" s="171"/>
    </row>
    <row r="388" spans="3:12" ht="15.75" customHeight="1" x14ac:dyDescent="0.2">
      <c r="C388" s="171"/>
      <c r="D388" s="171"/>
      <c r="E388" s="171"/>
      <c r="F388" s="171"/>
      <c r="G388" s="171"/>
      <c r="H388" s="171"/>
      <c r="I388" s="171"/>
      <c r="J388" s="171"/>
      <c r="K388" s="171"/>
      <c r="L388" s="171"/>
    </row>
    <row r="389" spans="3:12" ht="15.75" customHeight="1" x14ac:dyDescent="0.2">
      <c r="C389" s="171"/>
      <c r="D389" s="171"/>
      <c r="E389" s="171"/>
      <c r="F389" s="171"/>
      <c r="G389" s="171"/>
      <c r="H389" s="171"/>
      <c r="I389" s="171"/>
      <c r="J389" s="171"/>
      <c r="K389" s="171"/>
      <c r="L389" s="171"/>
    </row>
    <row r="390" spans="3:12" ht="15.75" customHeight="1" x14ac:dyDescent="0.2">
      <c r="C390" s="171"/>
      <c r="D390" s="171"/>
      <c r="E390" s="171"/>
      <c r="F390" s="171"/>
      <c r="G390" s="171"/>
      <c r="H390" s="171"/>
      <c r="I390" s="171"/>
      <c r="J390" s="171"/>
      <c r="K390" s="171"/>
      <c r="L390" s="171"/>
    </row>
    <row r="391" spans="3:12" ht="15.75" customHeight="1" x14ac:dyDescent="0.2">
      <c r="C391" s="171"/>
      <c r="D391" s="171"/>
      <c r="E391" s="171"/>
      <c r="F391" s="171"/>
      <c r="G391" s="171"/>
      <c r="H391" s="171"/>
      <c r="I391" s="171"/>
      <c r="J391" s="171"/>
      <c r="K391" s="171"/>
      <c r="L391" s="171"/>
    </row>
    <row r="392" spans="3:12" ht="15.75" customHeight="1" x14ac:dyDescent="0.2">
      <c r="C392" s="171"/>
      <c r="D392" s="171"/>
      <c r="E392" s="171"/>
      <c r="F392" s="171"/>
      <c r="G392" s="171"/>
      <c r="H392" s="171"/>
      <c r="I392" s="171"/>
      <c r="J392" s="171"/>
      <c r="K392" s="171"/>
      <c r="L392" s="171"/>
    </row>
    <row r="393" spans="3:12" ht="15.75" customHeight="1" x14ac:dyDescent="0.2">
      <c r="C393" s="171"/>
      <c r="D393" s="171"/>
      <c r="E393" s="171"/>
      <c r="F393" s="171"/>
      <c r="G393" s="171"/>
      <c r="H393" s="171"/>
      <c r="I393" s="171"/>
      <c r="J393" s="171"/>
      <c r="K393" s="171"/>
      <c r="L393" s="171"/>
    </row>
    <row r="394" spans="3:12" ht="15.75" customHeight="1" x14ac:dyDescent="0.2">
      <c r="C394" s="171"/>
      <c r="D394" s="171"/>
      <c r="E394" s="171"/>
      <c r="F394" s="171"/>
      <c r="G394" s="171"/>
      <c r="H394" s="171"/>
      <c r="I394" s="171"/>
      <c r="J394" s="171"/>
      <c r="K394" s="171"/>
      <c r="L394" s="171"/>
    </row>
    <row r="395" spans="3:12" ht="15.75" customHeight="1" x14ac:dyDescent="0.2">
      <c r="C395" s="171"/>
      <c r="D395" s="171"/>
      <c r="E395" s="171"/>
      <c r="F395" s="171"/>
      <c r="G395" s="171"/>
      <c r="H395" s="171"/>
      <c r="I395" s="171"/>
      <c r="J395" s="171"/>
      <c r="K395" s="171"/>
      <c r="L395" s="171"/>
    </row>
    <row r="396" spans="3:12" ht="15.75" customHeight="1" x14ac:dyDescent="0.2">
      <c r="C396" s="171"/>
      <c r="D396" s="171"/>
      <c r="E396" s="171"/>
      <c r="F396" s="171"/>
      <c r="G396" s="171"/>
      <c r="H396" s="171"/>
      <c r="I396" s="171"/>
      <c r="J396" s="171"/>
      <c r="K396" s="171"/>
      <c r="L396" s="171"/>
    </row>
    <row r="397" spans="3:12" ht="15.75" customHeight="1" x14ac:dyDescent="0.2">
      <c r="C397" s="171"/>
      <c r="D397" s="171"/>
      <c r="E397" s="171"/>
      <c r="F397" s="171"/>
      <c r="G397" s="171"/>
      <c r="H397" s="171"/>
      <c r="I397" s="171"/>
      <c r="J397" s="171"/>
      <c r="K397" s="171"/>
      <c r="L397" s="171"/>
    </row>
    <row r="398" spans="3:12" ht="15.75" customHeight="1" x14ac:dyDescent="0.2">
      <c r="C398" s="171"/>
      <c r="D398" s="171"/>
      <c r="E398" s="171"/>
      <c r="F398" s="171"/>
      <c r="G398" s="171"/>
      <c r="H398" s="171"/>
      <c r="I398" s="171"/>
      <c r="J398" s="171"/>
      <c r="K398" s="171"/>
      <c r="L398" s="171"/>
    </row>
    <row r="399" spans="3:12" ht="15.75" customHeight="1" x14ac:dyDescent="0.2">
      <c r="C399" s="171"/>
      <c r="D399" s="171"/>
      <c r="E399" s="171"/>
      <c r="F399" s="171"/>
      <c r="G399" s="171"/>
      <c r="H399" s="171"/>
      <c r="I399" s="171"/>
      <c r="J399" s="171"/>
      <c r="K399" s="171"/>
      <c r="L399" s="171"/>
    </row>
    <row r="400" spans="3:12" ht="15.75" customHeight="1" x14ac:dyDescent="0.2">
      <c r="C400" s="171"/>
      <c r="D400" s="171"/>
      <c r="E400" s="171"/>
      <c r="F400" s="171"/>
      <c r="G400" s="171"/>
      <c r="H400" s="171"/>
      <c r="I400" s="171"/>
      <c r="J400" s="171"/>
      <c r="K400" s="171"/>
      <c r="L400" s="171"/>
    </row>
    <row r="401" spans="3:12" ht="15.75" customHeight="1" x14ac:dyDescent="0.2">
      <c r="C401" s="171"/>
      <c r="D401" s="171"/>
      <c r="E401" s="171"/>
      <c r="F401" s="171"/>
      <c r="G401" s="171"/>
      <c r="H401" s="171"/>
      <c r="I401" s="171"/>
      <c r="J401" s="171"/>
      <c r="K401" s="171"/>
      <c r="L401" s="171"/>
    </row>
    <row r="402" spans="3:12" ht="15.75" customHeight="1" x14ac:dyDescent="0.2">
      <c r="C402" s="171"/>
      <c r="D402" s="171"/>
      <c r="E402" s="171"/>
      <c r="F402" s="171"/>
      <c r="G402" s="171"/>
      <c r="H402" s="171"/>
      <c r="I402" s="171"/>
      <c r="J402" s="171"/>
      <c r="K402" s="171"/>
      <c r="L402" s="171"/>
    </row>
    <row r="403" spans="3:12" ht="15.75" customHeight="1" x14ac:dyDescent="0.2">
      <c r="C403" s="171"/>
      <c r="D403" s="171"/>
      <c r="E403" s="171"/>
      <c r="F403" s="171"/>
      <c r="G403" s="171"/>
      <c r="H403" s="171"/>
      <c r="I403" s="171"/>
      <c r="J403" s="171"/>
      <c r="K403" s="171"/>
      <c r="L403" s="171"/>
    </row>
    <row r="404" spans="3:12" ht="15.75" customHeight="1" x14ac:dyDescent="0.2">
      <c r="C404" s="171"/>
      <c r="D404" s="171"/>
      <c r="E404" s="171"/>
      <c r="F404" s="171"/>
      <c r="G404" s="171"/>
      <c r="H404" s="171"/>
      <c r="I404" s="171"/>
      <c r="J404" s="171"/>
      <c r="K404" s="171"/>
      <c r="L404" s="171"/>
    </row>
    <row r="405" spans="3:12" ht="15.75" customHeight="1" x14ac:dyDescent="0.2">
      <c r="C405" s="171"/>
      <c r="D405" s="171"/>
      <c r="E405" s="171"/>
      <c r="F405" s="171"/>
      <c r="G405" s="171"/>
      <c r="H405" s="171"/>
      <c r="I405" s="171"/>
      <c r="J405" s="171"/>
      <c r="K405" s="171"/>
      <c r="L405" s="171"/>
    </row>
    <row r="406" spans="3:12" ht="15.75" customHeight="1" x14ac:dyDescent="0.2">
      <c r="C406" s="171"/>
      <c r="D406" s="171"/>
      <c r="E406" s="171"/>
      <c r="F406" s="171"/>
      <c r="G406" s="171"/>
      <c r="H406" s="171"/>
      <c r="I406" s="171"/>
      <c r="J406" s="171"/>
      <c r="K406" s="171"/>
      <c r="L406" s="171"/>
    </row>
    <row r="407" spans="3:12" ht="15.75" customHeight="1" x14ac:dyDescent="0.2">
      <c r="C407" s="171"/>
      <c r="D407" s="171"/>
      <c r="E407" s="171"/>
      <c r="F407" s="171"/>
      <c r="G407" s="171"/>
      <c r="H407" s="171"/>
      <c r="I407" s="171"/>
      <c r="J407" s="171"/>
      <c r="K407" s="171"/>
      <c r="L407" s="171"/>
    </row>
    <row r="408" spans="3:12" ht="15.75" customHeight="1" x14ac:dyDescent="0.2">
      <c r="C408" s="171"/>
      <c r="D408" s="171"/>
      <c r="E408" s="171"/>
      <c r="F408" s="171"/>
      <c r="G408" s="171"/>
      <c r="H408" s="171"/>
      <c r="I408" s="171"/>
      <c r="J408" s="171"/>
      <c r="K408" s="171"/>
      <c r="L408" s="171"/>
    </row>
    <row r="409" spans="3:12" ht="15.75" customHeight="1" x14ac:dyDescent="0.2">
      <c r="C409" s="171"/>
      <c r="D409" s="171"/>
      <c r="E409" s="171"/>
      <c r="F409" s="171"/>
      <c r="G409" s="171"/>
      <c r="H409" s="171"/>
      <c r="I409" s="171"/>
      <c r="J409" s="171"/>
      <c r="K409" s="171"/>
      <c r="L409" s="171"/>
    </row>
    <row r="410" spans="3:12" ht="15.75" customHeight="1" x14ac:dyDescent="0.2">
      <c r="C410" s="171"/>
      <c r="D410" s="171"/>
      <c r="E410" s="171"/>
      <c r="F410" s="171"/>
      <c r="G410" s="171"/>
      <c r="H410" s="171"/>
      <c r="I410" s="171"/>
      <c r="J410" s="171"/>
      <c r="K410" s="171"/>
      <c r="L410" s="171"/>
    </row>
    <row r="411" spans="3:12" ht="15.75" customHeight="1" x14ac:dyDescent="0.2">
      <c r="C411" s="171"/>
      <c r="D411" s="171"/>
      <c r="E411" s="171"/>
      <c r="F411" s="171"/>
      <c r="G411" s="171"/>
      <c r="H411" s="171"/>
      <c r="I411" s="171"/>
      <c r="J411" s="171"/>
      <c r="K411" s="171"/>
      <c r="L411" s="171"/>
    </row>
    <row r="412" spans="3:12" ht="15.75" customHeight="1" x14ac:dyDescent="0.2">
      <c r="C412" s="171"/>
      <c r="D412" s="171"/>
      <c r="E412" s="171"/>
      <c r="F412" s="171"/>
      <c r="G412" s="171"/>
      <c r="H412" s="171"/>
      <c r="I412" s="171"/>
      <c r="J412" s="171"/>
      <c r="K412" s="171"/>
      <c r="L412" s="171"/>
    </row>
    <row r="413" spans="3:12" ht="15.75" customHeight="1" x14ac:dyDescent="0.2">
      <c r="C413" s="171"/>
      <c r="D413" s="171"/>
      <c r="E413" s="171"/>
      <c r="F413" s="171"/>
      <c r="G413" s="171"/>
      <c r="H413" s="171"/>
      <c r="I413" s="171"/>
      <c r="J413" s="171"/>
      <c r="K413" s="171"/>
      <c r="L413" s="171"/>
    </row>
    <row r="414" spans="3:12" ht="15.75" customHeight="1" x14ac:dyDescent="0.2">
      <c r="C414" s="171"/>
      <c r="D414" s="171"/>
      <c r="E414" s="171"/>
      <c r="F414" s="171"/>
      <c r="G414" s="171"/>
      <c r="H414" s="171"/>
      <c r="I414" s="171"/>
      <c r="J414" s="171"/>
      <c r="K414" s="171"/>
      <c r="L414" s="171"/>
    </row>
    <row r="415" spans="3:12" ht="15.75" customHeight="1" x14ac:dyDescent="0.2">
      <c r="C415" s="171"/>
      <c r="D415" s="171"/>
      <c r="E415" s="171"/>
      <c r="F415" s="171"/>
      <c r="G415" s="171"/>
      <c r="H415" s="171"/>
      <c r="I415" s="171"/>
      <c r="J415" s="171"/>
      <c r="K415" s="171"/>
      <c r="L415" s="171"/>
    </row>
    <row r="416" spans="3:12" ht="15.75" customHeight="1" x14ac:dyDescent="0.2">
      <c r="C416" s="171"/>
      <c r="D416" s="171"/>
      <c r="E416" s="171"/>
      <c r="F416" s="171"/>
      <c r="G416" s="171"/>
      <c r="H416" s="171"/>
      <c r="I416" s="171"/>
      <c r="J416" s="171"/>
      <c r="K416" s="171"/>
      <c r="L416" s="171"/>
    </row>
    <row r="417" spans="3:12" ht="15.75" customHeight="1" x14ac:dyDescent="0.2">
      <c r="C417" s="171"/>
      <c r="D417" s="171"/>
      <c r="E417" s="171"/>
      <c r="F417" s="171"/>
      <c r="G417" s="171"/>
      <c r="H417" s="171"/>
      <c r="I417" s="171"/>
      <c r="J417" s="171"/>
      <c r="K417" s="171"/>
      <c r="L417" s="171"/>
    </row>
    <row r="418" spans="3:12" ht="15.75" customHeight="1" x14ac:dyDescent="0.2">
      <c r="C418" s="171"/>
      <c r="D418" s="171"/>
      <c r="E418" s="171"/>
      <c r="F418" s="171"/>
      <c r="G418" s="171"/>
      <c r="H418" s="171"/>
      <c r="I418" s="171"/>
      <c r="J418" s="171"/>
      <c r="K418" s="171"/>
      <c r="L418" s="171"/>
    </row>
    <row r="419" spans="3:12" ht="15.75" customHeight="1" x14ac:dyDescent="0.2">
      <c r="C419" s="171"/>
      <c r="D419" s="171"/>
      <c r="E419" s="171"/>
      <c r="F419" s="171"/>
      <c r="G419" s="171"/>
      <c r="H419" s="171"/>
      <c r="I419" s="171"/>
      <c r="J419" s="171"/>
      <c r="K419" s="171"/>
      <c r="L419" s="171"/>
    </row>
    <row r="420" spans="3:12" ht="15.75" customHeight="1" x14ac:dyDescent="0.2">
      <c r="C420" s="171"/>
      <c r="D420" s="171"/>
      <c r="E420" s="171"/>
      <c r="F420" s="171"/>
      <c r="G420" s="171"/>
      <c r="H420" s="171"/>
      <c r="I420" s="171"/>
      <c r="J420" s="171"/>
      <c r="K420" s="171"/>
      <c r="L420" s="171"/>
    </row>
    <row r="421" spans="3:12" ht="15.75" customHeight="1" x14ac:dyDescent="0.2">
      <c r="C421" s="171"/>
      <c r="D421" s="171"/>
      <c r="E421" s="171"/>
      <c r="F421" s="171"/>
      <c r="G421" s="171"/>
      <c r="H421" s="171"/>
      <c r="I421" s="171"/>
      <c r="J421" s="171"/>
      <c r="K421" s="171"/>
      <c r="L421" s="171"/>
    </row>
    <row r="422" spans="3:12" ht="15.75" customHeight="1" x14ac:dyDescent="0.2">
      <c r="C422" s="171"/>
      <c r="D422" s="171"/>
      <c r="E422" s="171"/>
      <c r="F422" s="171"/>
      <c r="G422" s="171"/>
      <c r="H422" s="171"/>
      <c r="I422" s="171"/>
      <c r="J422" s="171"/>
      <c r="K422" s="171"/>
      <c r="L422" s="171"/>
    </row>
    <row r="423" spans="3:12" ht="15.75" customHeight="1" x14ac:dyDescent="0.2">
      <c r="C423" s="171"/>
      <c r="D423" s="171"/>
      <c r="E423" s="171"/>
      <c r="F423" s="171"/>
      <c r="G423" s="171"/>
      <c r="H423" s="171"/>
      <c r="I423" s="171"/>
      <c r="J423" s="171"/>
      <c r="K423" s="171"/>
      <c r="L423" s="171"/>
    </row>
    <row r="424" spans="3:12" ht="15.75" customHeight="1" x14ac:dyDescent="0.2">
      <c r="C424" s="171"/>
      <c r="D424" s="171"/>
      <c r="E424" s="171"/>
      <c r="F424" s="171"/>
      <c r="G424" s="171"/>
      <c r="H424" s="171"/>
      <c r="I424" s="171"/>
      <c r="J424" s="171"/>
      <c r="K424" s="171"/>
      <c r="L424" s="171"/>
    </row>
    <row r="425" spans="3:12" ht="15.75" customHeight="1" x14ac:dyDescent="0.2">
      <c r="C425" s="171"/>
      <c r="D425" s="171"/>
      <c r="E425" s="171"/>
      <c r="F425" s="171"/>
      <c r="G425" s="171"/>
      <c r="H425" s="171"/>
      <c r="I425" s="171"/>
      <c r="J425" s="171"/>
      <c r="K425" s="171"/>
      <c r="L425" s="171"/>
    </row>
    <row r="426" spans="3:12" ht="15.75" customHeight="1" x14ac:dyDescent="0.2">
      <c r="C426" s="171"/>
      <c r="D426" s="171"/>
      <c r="E426" s="171"/>
      <c r="F426" s="171"/>
      <c r="G426" s="171"/>
      <c r="H426" s="171"/>
      <c r="I426" s="171"/>
      <c r="J426" s="171"/>
      <c r="K426" s="171"/>
      <c r="L426" s="171"/>
    </row>
    <row r="427" spans="3:12" ht="15.75" customHeight="1" x14ac:dyDescent="0.2">
      <c r="C427" s="171"/>
      <c r="D427" s="171"/>
      <c r="E427" s="171"/>
      <c r="F427" s="171"/>
      <c r="G427" s="171"/>
      <c r="H427" s="171"/>
      <c r="I427" s="171"/>
      <c r="J427" s="171"/>
      <c r="K427" s="171"/>
      <c r="L427" s="171"/>
    </row>
    <row r="428" spans="3:12" ht="15.75" customHeight="1" x14ac:dyDescent="0.2">
      <c r="C428" s="171"/>
      <c r="D428" s="171"/>
      <c r="E428" s="171"/>
      <c r="F428" s="171"/>
      <c r="G428" s="171"/>
      <c r="H428" s="171"/>
      <c r="I428" s="171"/>
      <c r="J428" s="171"/>
      <c r="K428" s="171"/>
      <c r="L428" s="171"/>
    </row>
    <row r="429" spans="3:12" ht="15.75" customHeight="1" x14ac:dyDescent="0.2">
      <c r="C429" s="171"/>
      <c r="D429" s="171"/>
      <c r="E429" s="171"/>
      <c r="F429" s="171"/>
      <c r="G429" s="171"/>
      <c r="H429" s="171"/>
      <c r="I429" s="171"/>
      <c r="J429" s="171"/>
      <c r="K429" s="171"/>
      <c r="L429" s="171"/>
    </row>
    <row r="430" spans="3:12" ht="15.75" customHeight="1" x14ac:dyDescent="0.2">
      <c r="C430" s="171"/>
      <c r="D430" s="171"/>
      <c r="E430" s="171"/>
      <c r="F430" s="171"/>
      <c r="G430" s="171"/>
      <c r="H430" s="171"/>
      <c r="I430" s="171"/>
      <c r="J430" s="171"/>
      <c r="K430" s="171"/>
      <c r="L430" s="171"/>
    </row>
    <row r="431" spans="3:12" ht="15.75" customHeight="1" x14ac:dyDescent="0.2">
      <c r="C431" s="171"/>
      <c r="D431" s="171"/>
      <c r="E431" s="171"/>
      <c r="F431" s="171"/>
      <c r="G431" s="171"/>
      <c r="H431" s="171"/>
      <c r="I431" s="171"/>
      <c r="J431" s="171"/>
      <c r="K431" s="171"/>
      <c r="L431" s="171"/>
    </row>
    <row r="432" spans="3:12" ht="15.75" customHeight="1" x14ac:dyDescent="0.2">
      <c r="C432" s="171"/>
      <c r="D432" s="171"/>
      <c r="E432" s="171"/>
      <c r="F432" s="171"/>
      <c r="G432" s="171"/>
      <c r="H432" s="171"/>
      <c r="I432" s="171"/>
      <c r="J432" s="171"/>
      <c r="K432" s="171"/>
      <c r="L432" s="171"/>
    </row>
    <row r="433" spans="3:12" ht="15.75" customHeight="1" x14ac:dyDescent="0.2">
      <c r="C433" s="171"/>
      <c r="D433" s="171"/>
      <c r="E433" s="171"/>
      <c r="F433" s="171"/>
      <c r="G433" s="171"/>
      <c r="H433" s="171"/>
      <c r="I433" s="171"/>
      <c r="J433" s="171"/>
      <c r="K433" s="171"/>
      <c r="L433" s="171"/>
    </row>
    <row r="434" spans="3:12" ht="15.75" customHeight="1" x14ac:dyDescent="0.2">
      <c r="C434" s="171"/>
      <c r="D434" s="171"/>
      <c r="E434" s="171"/>
      <c r="F434" s="171"/>
      <c r="G434" s="171"/>
      <c r="H434" s="171"/>
      <c r="I434" s="171"/>
      <c r="J434" s="171"/>
      <c r="K434" s="171"/>
      <c r="L434" s="171"/>
    </row>
    <row r="435" spans="3:12" ht="15.75" customHeight="1" x14ac:dyDescent="0.2">
      <c r="C435" s="171"/>
      <c r="D435" s="171"/>
      <c r="E435" s="171"/>
      <c r="F435" s="171"/>
      <c r="G435" s="171"/>
      <c r="H435" s="171"/>
      <c r="I435" s="171"/>
      <c r="J435" s="171"/>
      <c r="K435" s="171"/>
      <c r="L435" s="171"/>
    </row>
    <row r="436" spans="3:12" ht="15.75" customHeight="1" x14ac:dyDescent="0.2">
      <c r="C436" s="171"/>
      <c r="D436" s="171"/>
      <c r="E436" s="171"/>
      <c r="F436" s="171"/>
      <c r="G436" s="171"/>
      <c r="H436" s="171"/>
      <c r="I436" s="171"/>
      <c r="J436" s="171"/>
      <c r="K436" s="171"/>
      <c r="L436" s="171"/>
    </row>
    <row r="437" spans="3:12" ht="15.75" customHeight="1" x14ac:dyDescent="0.2">
      <c r="C437" s="171"/>
      <c r="D437" s="171"/>
      <c r="E437" s="171"/>
      <c r="F437" s="171"/>
      <c r="G437" s="171"/>
      <c r="H437" s="171"/>
      <c r="I437" s="171"/>
      <c r="J437" s="171"/>
      <c r="K437" s="171"/>
      <c r="L437" s="171"/>
    </row>
    <row r="438" spans="3:12" ht="15.75" customHeight="1" x14ac:dyDescent="0.2">
      <c r="C438" s="171"/>
      <c r="D438" s="171"/>
      <c r="E438" s="171"/>
      <c r="F438" s="171"/>
      <c r="G438" s="171"/>
      <c r="H438" s="171"/>
      <c r="I438" s="171"/>
      <c r="J438" s="171"/>
      <c r="K438" s="171"/>
      <c r="L438" s="171"/>
    </row>
    <row r="439" spans="3:12" ht="15.75" customHeight="1" x14ac:dyDescent="0.2">
      <c r="C439" s="171"/>
      <c r="D439" s="171"/>
      <c r="E439" s="171"/>
      <c r="F439" s="171"/>
      <c r="G439" s="171"/>
      <c r="H439" s="171"/>
      <c r="I439" s="171"/>
      <c r="J439" s="171"/>
      <c r="K439" s="171"/>
      <c r="L439" s="171"/>
    </row>
    <row r="440" spans="3:12" ht="15.75" customHeight="1" x14ac:dyDescent="0.2">
      <c r="C440" s="171"/>
      <c r="D440" s="171"/>
      <c r="E440" s="171"/>
      <c r="F440" s="171"/>
      <c r="G440" s="171"/>
      <c r="H440" s="171"/>
      <c r="I440" s="171"/>
      <c r="J440" s="171"/>
      <c r="K440" s="171"/>
      <c r="L440" s="171"/>
    </row>
    <row r="441" spans="3:12" ht="15.75" customHeight="1" x14ac:dyDescent="0.2">
      <c r="C441" s="171"/>
      <c r="D441" s="171"/>
      <c r="E441" s="171"/>
      <c r="F441" s="171"/>
      <c r="G441" s="171"/>
      <c r="H441" s="171"/>
      <c r="I441" s="171"/>
      <c r="J441" s="171"/>
      <c r="K441" s="171"/>
      <c r="L441" s="171"/>
    </row>
    <row r="442" spans="3:12" ht="15.75" customHeight="1" x14ac:dyDescent="0.2">
      <c r="C442" s="171"/>
      <c r="D442" s="171"/>
      <c r="E442" s="171"/>
      <c r="F442" s="171"/>
      <c r="G442" s="171"/>
      <c r="H442" s="171"/>
      <c r="I442" s="171"/>
      <c r="J442" s="171"/>
      <c r="K442" s="171"/>
      <c r="L442" s="171"/>
    </row>
    <row r="443" spans="3:12" ht="15.75" customHeight="1" x14ac:dyDescent="0.2">
      <c r="C443" s="171"/>
      <c r="D443" s="171"/>
      <c r="E443" s="171"/>
      <c r="F443" s="171"/>
      <c r="G443" s="171"/>
      <c r="H443" s="171"/>
      <c r="I443" s="171"/>
      <c r="J443" s="171"/>
      <c r="K443" s="171"/>
      <c r="L443" s="171"/>
    </row>
    <row r="444" spans="3:12" ht="15.75" customHeight="1" x14ac:dyDescent="0.2">
      <c r="C444" s="171"/>
      <c r="D444" s="171"/>
      <c r="E444" s="171"/>
      <c r="F444" s="171"/>
      <c r="G444" s="171"/>
      <c r="H444" s="171"/>
      <c r="I444" s="171"/>
      <c r="J444" s="171"/>
      <c r="K444" s="171"/>
      <c r="L444" s="171"/>
    </row>
    <row r="445" spans="3:12" ht="15.75" customHeight="1" x14ac:dyDescent="0.2">
      <c r="C445" s="171"/>
      <c r="D445" s="171"/>
      <c r="E445" s="171"/>
      <c r="F445" s="171"/>
      <c r="G445" s="171"/>
      <c r="H445" s="171"/>
      <c r="I445" s="171"/>
      <c r="J445" s="171"/>
      <c r="K445" s="171"/>
      <c r="L445" s="171"/>
    </row>
    <row r="446" spans="3:12" ht="15.75" customHeight="1" x14ac:dyDescent="0.2">
      <c r="C446" s="171"/>
      <c r="D446" s="171"/>
      <c r="E446" s="171"/>
      <c r="F446" s="171"/>
      <c r="G446" s="171"/>
      <c r="H446" s="171"/>
      <c r="I446" s="171"/>
      <c r="J446" s="171"/>
      <c r="K446" s="171"/>
      <c r="L446" s="171"/>
    </row>
    <row r="447" spans="3:12" ht="15.75" customHeight="1" x14ac:dyDescent="0.2">
      <c r="C447" s="171"/>
      <c r="D447" s="171"/>
      <c r="E447" s="171"/>
      <c r="F447" s="171"/>
      <c r="G447" s="171"/>
      <c r="H447" s="171"/>
      <c r="I447" s="171"/>
      <c r="J447" s="171"/>
      <c r="K447" s="171"/>
      <c r="L447" s="171"/>
    </row>
    <row r="448" spans="3:12" ht="15.75" customHeight="1" x14ac:dyDescent="0.2">
      <c r="C448" s="171"/>
      <c r="D448" s="171"/>
      <c r="E448" s="171"/>
      <c r="F448" s="171"/>
      <c r="G448" s="171"/>
      <c r="H448" s="171"/>
      <c r="I448" s="171"/>
      <c r="J448" s="171"/>
      <c r="K448" s="171"/>
      <c r="L448" s="171"/>
    </row>
    <row r="449" spans="3:12" ht="15.75" customHeight="1" x14ac:dyDescent="0.2">
      <c r="C449" s="171"/>
      <c r="D449" s="171"/>
      <c r="E449" s="171"/>
      <c r="F449" s="171"/>
      <c r="G449" s="171"/>
      <c r="H449" s="171"/>
      <c r="I449" s="171"/>
      <c r="J449" s="171"/>
      <c r="K449" s="171"/>
      <c r="L449" s="171"/>
    </row>
    <row r="450" spans="3:12" ht="15.75" customHeight="1" x14ac:dyDescent="0.2">
      <c r="C450" s="171"/>
      <c r="D450" s="171"/>
      <c r="E450" s="171"/>
      <c r="F450" s="171"/>
      <c r="G450" s="171"/>
      <c r="H450" s="171"/>
      <c r="I450" s="171"/>
      <c r="J450" s="171"/>
      <c r="K450" s="171"/>
      <c r="L450" s="171"/>
    </row>
    <row r="451" spans="3:12" ht="15.75" customHeight="1" x14ac:dyDescent="0.2">
      <c r="C451" s="171"/>
      <c r="D451" s="171"/>
      <c r="E451" s="171"/>
      <c r="F451" s="171"/>
      <c r="G451" s="171"/>
      <c r="H451" s="171"/>
      <c r="I451" s="171"/>
      <c r="J451" s="171"/>
      <c r="K451" s="171"/>
      <c r="L451" s="171"/>
    </row>
    <row r="452" spans="3:12" ht="15.75" customHeight="1" x14ac:dyDescent="0.2">
      <c r="C452" s="171"/>
      <c r="D452" s="171"/>
      <c r="E452" s="171"/>
      <c r="F452" s="171"/>
      <c r="G452" s="171"/>
      <c r="H452" s="171"/>
      <c r="I452" s="171"/>
      <c r="J452" s="171"/>
      <c r="K452" s="171"/>
      <c r="L452" s="171"/>
    </row>
    <row r="453" spans="3:12" ht="15.75" customHeight="1" x14ac:dyDescent="0.2">
      <c r="C453" s="171"/>
      <c r="D453" s="171"/>
      <c r="E453" s="171"/>
      <c r="F453" s="171"/>
      <c r="G453" s="171"/>
      <c r="H453" s="171"/>
      <c r="I453" s="171"/>
      <c r="J453" s="171"/>
      <c r="K453" s="171"/>
      <c r="L453" s="171"/>
    </row>
    <row r="454" spans="3:12" ht="15.75" customHeight="1" x14ac:dyDescent="0.2">
      <c r="C454" s="171"/>
      <c r="D454" s="171"/>
      <c r="E454" s="171"/>
      <c r="F454" s="171"/>
      <c r="G454" s="171"/>
      <c r="H454" s="171"/>
      <c r="I454" s="171"/>
      <c r="J454" s="171"/>
      <c r="K454" s="171"/>
      <c r="L454" s="171"/>
    </row>
    <row r="455" spans="3:12" ht="15.75" customHeight="1" x14ac:dyDescent="0.2">
      <c r="C455" s="171"/>
      <c r="D455" s="171"/>
      <c r="E455" s="171"/>
      <c r="F455" s="171"/>
      <c r="G455" s="171"/>
      <c r="H455" s="171"/>
      <c r="I455" s="171"/>
      <c r="J455" s="171"/>
      <c r="K455" s="171"/>
      <c r="L455" s="171"/>
    </row>
    <row r="456" spans="3:12" ht="15.75" customHeight="1" x14ac:dyDescent="0.2">
      <c r="C456" s="171"/>
      <c r="D456" s="171"/>
      <c r="E456" s="171"/>
      <c r="F456" s="171"/>
      <c r="G456" s="171"/>
      <c r="H456" s="171"/>
      <c r="I456" s="171"/>
      <c r="J456" s="171"/>
      <c r="K456" s="171"/>
      <c r="L456" s="171"/>
    </row>
    <row r="457" spans="3:12" ht="15.75" customHeight="1" x14ac:dyDescent="0.2">
      <c r="C457" s="171"/>
      <c r="D457" s="171"/>
      <c r="E457" s="171"/>
      <c r="F457" s="171"/>
      <c r="G457" s="171"/>
      <c r="H457" s="171"/>
      <c r="I457" s="171"/>
      <c r="J457" s="171"/>
      <c r="K457" s="171"/>
      <c r="L457" s="171"/>
    </row>
    <row r="458" spans="3:12" ht="15.75" customHeight="1" x14ac:dyDescent="0.2">
      <c r="C458" s="171"/>
      <c r="D458" s="171"/>
      <c r="E458" s="171"/>
      <c r="F458" s="171"/>
      <c r="G458" s="171"/>
      <c r="H458" s="171"/>
      <c r="I458" s="171"/>
      <c r="J458" s="171"/>
      <c r="K458" s="171"/>
      <c r="L458" s="171"/>
    </row>
    <row r="459" spans="3:12" ht="15.75" customHeight="1" x14ac:dyDescent="0.2">
      <c r="C459" s="171"/>
      <c r="D459" s="171"/>
      <c r="E459" s="171"/>
      <c r="F459" s="171"/>
      <c r="G459" s="171"/>
      <c r="H459" s="171"/>
      <c r="I459" s="171"/>
      <c r="J459" s="171"/>
      <c r="K459" s="171"/>
      <c r="L459" s="171"/>
    </row>
    <row r="460" spans="3:12" ht="15.75" customHeight="1" x14ac:dyDescent="0.2">
      <c r="C460" s="171"/>
      <c r="D460" s="171"/>
      <c r="E460" s="171"/>
      <c r="F460" s="171"/>
      <c r="G460" s="171"/>
      <c r="H460" s="171"/>
      <c r="I460" s="171"/>
      <c r="J460" s="171"/>
      <c r="K460" s="171"/>
      <c r="L460" s="171"/>
    </row>
    <row r="461" spans="3:12" ht="15.75" customHeight="1" x14ac:dyDescent="0.2">
      <c r="C461" s="171"/>
      <c r="D461" s="171"/>
      <c r="E461" s="171"/>
      <c r="F461" s="171"/>
      <c r="G461" s="171"/>
      <c r="H461" s="171"/>
      <c r="I461" s="171"/>
      <c r="J461" s="171"/>
      <c r="K461" s="171"/>
      <c r="L461" s="171"/>
    </row>
    <row r="462" spans="3:12" ht="15.75" customHeight="1" x14ac:dyDescent="0.2">
      <c r="C462" s="171"/>
      <c r="D462" s="171"/>
      <c r="E462" s="171"/>
      <c r="F462" s="171"/>
      <c r="G462" s="171"/>
      <c r="H462" s="171"/>
      <c r="I462" s="171"/>
      <c r="J462" s="171"/>
      <c r="K462" s="171"/>
      <c r="L462" s="171"/>
    </row>
    <row r="463" spans="3:12" ht="15.75" customHeight="1" x14ac:dyDescent="0.2">
      <c r="C463" s="171"/>
      <c r="D463" s="171"/>
      <c r="E463" s="171"/>
      <c r="F463" s="171"/>
      <c r="G463" s="171"/>
      <c r="H463" s="171"/>
      <c r="I463" s="171"/>
      <c r="J463" s="171"/>
      <c r="K463" s="171"/>
      <c r="L463" s="171"/>
    </row>
    <row r="464" spans="3:12" ht="15.75" customHeight="1" x14ac:dyDescent="0.2">
      <c r="C464" s="171"/>
      <c r="D464" s="171"/>
      <c r="E464" s="171"/>
      <c r="F464" s="171"/>
      <c r="G464" s="171"/>
      <c r="H464" s="171"/>
      <c r="I464" s="171"/>
      <c r="J464" s="171"/>
      <c r="K464" s="171"/>
      <c r="L464" s="171"/>
    </row>
    <row r="465" spans="3:12" ht="15.75" customHeight="1" x14ac:dyDescent="0.2">
      <c r="C465" s="171"/>
      <c r="D465" s="171"/>
      <c r="E465" s="171"/>
      <c r="F465" s="171"/>
      <c r="G465" s="171"/>
      <c r="H465" s="171"/>
      <c r="I465" s="171"/>
      <c r="J465" s="171"/>
      <c r="K465" s="171"/>
      <c r="L465" s="171"/>
    </row>
    <row r="466" spans="3:12" ht="15.75" customHeight="1" x14ac:dyDescent="0.2">
      <c r="C466" s="171"/>
      <c r="D466" s="171"/>
      <c r="E466" s="171"/>
      <c r="F466" s="171"/>
      <c r="G466" s="171"/>
      <c r="H466" s="171"/>
      <c r="I466" s="171"/>
      <c r="J466" s="171"/>
      <c r="K466" s="171"/>
      <c r="L466" s="171"/>
    </row>
    <row r="467" spans="3:12" ht="15.75" customHeight="1" x14ac:dyDescent="0.2">
      <c r="C467" s="171"/>
      <c r="D467" s="171"/>
      <c r="E467" s="171"/>
      <c r="F467" s="171"/>
      <c r="G467" s="171"/>
      <c r="H467" s="171"/>
      <c r="I467" s="171"/>
      <c r="J467" s="171"/>
      <c r="K467" s="171"/>
      <c r="L467" s="171"/>
    </row>
    <row r="468" spans="3:12" ht="15.75" customHeight="1" x14ac:dyDescent="0.2">
      <c r="C468" s="171"/>
      <c r="D468" s="171"/>
      <c r="E468" s="171"/>
      <c r="F468" s="171"/>
      <c r="G468" s="171"/>
      <c r="H468" s="171"/>
      <c r="I468" s="171"/>
      <c r="J468" s="171"/>
      <c r="K468" s="171"/>
      <c r="L468" s="171"/>
    </row>
    <row r="469" spans="3:12" ht="15.75" customHeight="1" x14ac:dyDescent="0.2">
      <c r="C469" s="171"/>
      <c r="D469" s="171"/>
      <c r="E469" s="171"/>
      <c r="F469" s="171"/>
      <c r="G469" s="171"/>
      <c r="H469" s="171"/>
      <c r="I469" s="171"/>
      <c r="J469" s="171"/>
      <c r="K469" s="171"/>
      <c r="L469" s="171"/>
    </row>
    <row r="470" spans="3:12" ht="15.75" customHeight="1" x14ac:dyDescent="0.2">
      <c r="C470" s="171"/>
      <c r="D470" s="171"/>
      <c r="E470" s="171"/>
      <c r="F470" s="171"/>
      <c r="G470" s="171"/>
      <c r="H470" s="171"/>
      <c r="I470" s="171"/>
      <c r="J470" s="171"/>
      <c r="K470" s="171"/>
      <c r="L470" s="171"/>
    </row>
    <row r="471" spans="3:12" ht="15.75" customHeight="1" x14ac:dyDescent="0.2">
      <c r="C471" s="171"/>
      <c r="D471" s="171"/>
      <c r="E471" s="171"/>
      <c r="F471" s="171"/>
      <c r="G471" s="171"/>
      <c r="H471" s="171"/>
      <c r="I471" s="171"/>
      <c r="J471" s="171"/>
      <c r="K471" s="171"/>
      <c r="L471" s="171"/>
    </row>
    <row r="472" spans="3:12" ht="15.75" customHeight="1" x14ac:dyDescent="0.2">
      <c r="C472" s="171"/>
      <c r="D472" s="171"/>
      <c r="E472" s="171"/>
      <c r="F472" s="171"/>
      <c r="G472" s="171"/>
      <c r="H472" s="171"/>
      <c r="I472" s="171"/>
      <c r="J472" s="171"/>
      <c r="K472" s="171"/>
      <c r="L472" s="171"/>
    </row>
    <row r="473" spans="3:12" ht="15.75" customHeight="1" x14ac:dyDescent="0.2">
      <c r="C473" s="171"/>
      <c r="D473" s="171"/>
      <c r="E473" s="171"/>
      <c r="F473" s="171"/>
      <c r="G473" s="171"/>
      <c r="H473" s="171"/>
      <c r="I473" s="171"/>
      <c r="J473" s="171"/>
      <c r="K473" s="171"/>
      <c r="L473" s="171"/>
    </row>
    <row r="474" spans="3:12" ht="15.75" customHeight="1" x14ac:dyDescent="0.2">
      <c r="C474" s="171"/>
      <c r="D474" s="171"/>
      <c r="E474" s="171"/>
      <c r="F474" s="171"/>
      <c r="G474" s="171"/>
      <c r="H474" s="171"/>
      <c r="I474" s="171"/>
      <c r="J474" s="171"/>
      <c r="K474" s="171"/>
      <c r="L474" s="171"/>
    </row>
    <row r="475" spans="3:12" ht="15.75" customHeight="1" x14ac:dyDescent="0.2">
      <c r="C475" s="171"/>
      <c r="D475" s="171"/>
      <c r="E475" s="171"/>
      <c r="F475" s="171"/>
      <c r="G475" s="171"/>
      <c r="H475" s="171"/>
      <c r="I475" s="171"/>
      <c r="J475" s="171"/>
      <c r="K475" s="171"/>
      <c r="L475" s="171"/>
    </row>
    <row r="476" spans="3:12" ht="15.75" customHeight="1" x14ac:dyDescent="0.2">
      <c r="C476" s="171"/>
      <c r="D476" s="171"/>
      <c r="E476" s="171"/>
      <c r="F476" s="171"/>
      <c r="G476" s="171"/>
      <c r="H476" s="171"/>
      <c r="I476" s="171"/>
      <c r="J476" s="171"/>
      <c r="K476" s="171"/>
      <c r="L476" s="171"/>
    </row>
    <row r="477" spans="3:12" ht="15.75" customHeight="1" x14ac:dyDescent="0.2">
      <c r="C477" s="171"/>
      <c r="D477" s="171"/>
      <c r="E477" s="171"/>
      <c r="F477" s="171"/>
      <c r="G477" s="171"/>
      <c r="H477" s="171"/>
      <c r="I477" s="171"/>
      <c r="J477" s="171"/>
      <c r="K477" s="171"/>
      <c r="L477" s="171"/>
    </row>
    <row r="478" spans="3:12" ht="15.75" customHeight="1" x14ac:dyDescent="0.2">
      <c r="C478" s="171"/>
      <c r="D478" s="171"/>
      <c r="E478" s="171"/>
      <c r="F478" s="171"/>
      <c r="G478" s="171"/>
      <c r="H478" s="171"/>
      <c r="I478" s="171"/>
      <c r="J478" s="171"/>
      <c r="K478" s="171"/>
      <c r="L478" s="171"/>
    </row>
    <row r="479" spans="3:12" ht="15.75" customHeight="1" x14ac:dyDescent="0.2">
      <c r="C479" s="171"/>
      <c r="D479" s="171"/>
      <c r="E479" s="171"/>
      <c r="F479" s="171"/>
      <c r="G479" s="171"/>
      <c r="H479" s="171"/>
      <c r="I479" s="171"/>
      <c r="J479" s="171"/>
      <c r="K479" s="171"/>
      <c r="L479" s="171"/>
    </row>
    <row r="480" spans="3:12" ht="15.75" customHeight="1" x14ac:dyDescent="0.2">
      <c r="C480" s="171"/>
      <c r="D480" s="171"/>
      <c r="E480" s="171"/>
      <c r="F480" s="171"/>
      <c r="G480" s="171"/>
      <c r="H480" s="171"/>
      <c r="I480" s="171"/>
      <c r="J480" s="171"/>
      <c r="K480" s="171"/>
      <c r="L480" s="171"/>
    </row>
    <row r="481" spans="3:12" ht="15.75" customHeight="1" x14ac:dyDescent="0.2">
      <c r="C481" s="171"/>
      <c r="D481" s="171"/>
      <c r="E481" s="171"/>
      <c r="F481" s="171"/>
      <c r="G481" s="171"/>
      <c r="H481" s="171"/>
      <c r="I481" s="171"/>
      <c r="J481" s="171"/>
      <c r="K481" s="171"/>
      <c r="L481" s="171"/>
    </row>
    <row r="482" spans="3:12" ht="15.75" customHeight="1" x14ac:dyDescent="0.2">
      <c r="C482" s="171"/>
      <c r="D482" s="171"/>
      <c r="E482" s="171"/>
      <c r="F482" s="171"/>
      <c r="G482" s="171"/>
      <c r="H482" s="171"/>
      <c r="I482" s="171"/>
      <c r="J482" s="171"/>
      <c r="K482" s="171"/>
      <c r="L482" s="171"/>
    </row>
    <row r="483" spans="3:12" ht="15.75" customHeight="1" x14ac:dyDescent="0.2">
      <c r="C483" s="171"/>
      <c r="D483" s="171"/>
      <c r="E483" s="171"/>
      <c r="F483" s="171"/>
      <c r="G483" s="171"/>
      <c r="H483" s="171"/>
      <c r="I483" s="171"/>
      <c r="J483" s="171"/>
      <c r="K483" s="171"/>
      <c r="L483" s="171"/>
    </row>
    <row r="484" spans="3:12" ht="15.75" customHeight="1" x14ac:dyDescent="0.2">
      <c r="C484" s="171"/>
      <c r="D484" s="171"/>
      <c r="E484" s="171"/>
      <c r="F484" s="171"/>
      <c r="G484" s="171"/>
      <c r="H484" s="171"/>
      <c r="I484" s="171"/>
      <c r="J484" s="171"/>
      <c r="K484" s="171"/>
      <c r="L484" s="171"/>
    </row>
    <row r="485" spans="3:12" ht="15.75" customHeight="1" x14ac:dyDescent="0.2">
      <c r="C485" s="171"/>
      <c r="D485" s="171"/>
      <c r="E485" s="171"/>
      <c r="F485" s="171"/>
      <c r="G485" s="171"/>
      <c r="H485" s="171"/>
      <c r="I485" s="171"/>
      <c r="J485" s="171"/>
      <c r="K485" s="171"/>
      <c r="L485" s="171"/>
    </row>
    <row r="486" spans="3:12" ht="15.75" customHeight="1" x14ac:dyDescent="0.2">
      <c r="C486" s="171"/>
      <c r="D486" s="171"/>
      <c r="E486" s="171"/>
      <c r="F486" s="171"/>
      <c r="G486" s="171"/>
      <c r="H486" s="171"/>
      <c r="I486" s="171"/>
      <c r="J486" s="171"/>
      <c r="K486" s="171"/>
      <c r="L486" s="171"/>
    </row>
    <row r="487" spans="3:12" ht="15.75" customHeight="1" x14ac:dyDescent="0.2">
      <c r="C487" s="171"/>
      <c r="D487" s="171"/>
      <c r="E487" s="171"/>
      <c r="F487" s="171"/>
      <c r="G487" s="171"/>
      <c r="H487" s="171"/>
      <c r="I487" s="171"/>
      <c r="J487" s="171"/>
      <c r="K487" s="171"/>
      <c r="L487" s="171"/>
    </row>
    <row r="488" spans="3:12" ht="15.75" customHeight="1" x14ac:dyDescent="0.2">
      <c r="C488" s="171"/>
      <c r="D488" s="171"/>
      <c r="E488" s="171"/>
      <c r="F488" s="171"/>
      <c r="G488" s="171"/>
      <c r="H488" s="171"/>
      <c r="I488" s="171"/>
      <c r="J488" s="171"/>
      <c r="K488" s="171"/>
      <c r="L488" s="171"/>
    </row>
    <row r="489" spans="3:12" ht="15.75" customHeight="1" x14ac:dyDescent="0.2">
      <c r="C489" s="171"/>
      <c r="D489" s="171"/>
      <c r="E489" s="171"/>
      <c r="F489" s="171"/>
      <c r="G489" s="171"/>
      <c r="H489" s="171"/>
      <c r="I489" s="171"/>
      <c r="J489" s="171"/>
      <c r="K489" s="171"/>
      <c r="L489" s="171"/>
    </row>
    <row r="490" spans="3:12" ht="15.75" customHeight="1" x14ac:dyDescent="0.2">
      <c r="C490" s="171"/>
      <c r="D490" s="171"/>
      <c r="E490" s="171"/>
      <c r="F490" s="171"/>
      <c r="G490" s="171"/>
      <c r="H490" s="171"/>
      <c r="I490" s="171"/>
      <c r="J490" s="171"/>
      <c r="K490" s="171"/>
      <c r="L490" s="171"/>
    </row>
    <row r="491" spans="3:12" ht="15.75" customHeight="1" x14ac:dyDescent="0.2">
      <c r="C491" s="171"/>
      <c r="D491" s="171"/>
      <c r="E491" s="171"/>
      <c r="F491" s="171"/>
      <c r="G491" s="171"/>
      <c r="H491" s="171"/>
      <c r="I491" s="171"/>
      <c r="J491" s="171"/>
      <c r="K491" s="171"/>
      <c r="L491" s="171"/>
    </row>
    <row r="492" spans="3:12" ht="15.75" customHeight="1" x14ac:dyDescent="0.2">
      <c r="C492" s="171"/>
      <c r="D492" s="171"/>
      <c r="E492" s="171"/>
      <c r="F492" s="171"/>
      <c r="G492" s="171"/>
      <c r="H492" s="171"/>
      <c r="I492" s="171"/>
      <c r="J492" s="171"/>
      <c r="K492" s="171"/>
      <c r="L492" s="171"/>
    </row>
    <row r="493" spans="3:12" ht="15.75" customHeight="1" x14ac:dyDescent="0.2">
      <c r="C493" s="171"/>
      <c r="D493" s="171"/>
      <c r="E493" s="171"/>
      <c r="F493" s="171"/>
      <c r="G493" s="171"/>
      <c r="H493" s="171"/>
      <c r="I493" s="171"/>
      <c r="J493" s="171"/>
      <c r="K493" s="171"/>
      <c r="L493" s="171"/>
    </row>
    <row r="494" spans="3:12" ht="15.75" customHeight="1" x14ac:dyDescent="0.2">
      <c r="C494" s="171"/>
      <c r="D494" s="171"/>
      <c r="E494" s="171"/>
      <c r="F494" s="171"/>
      <c r="G494" s="171"/>
      <c r="H494" s="171"/>
      <c r="I494" s="171"/>
      <c r="J494" s="171"/>
      <c r="K494" s="171"/>
      <c r="L494" s="171"/>
    </row>
    <row r="495" spans="3:12" ht="15.75" customHeight="1" x14ac:dyDescent="0.2">
      <c r="C495" s="171"/>
      <c r="D495" s="171"/>
      <c r="E495" s="171"/>
      <c r="F495" s="171"/>
      <c r="G495" s="171"/>
      <c r="H495" s="171"/>
      <c r="I495" s="171"/>
      <c r="J495" s="171"/>
      <c r="K495" s="171"/>
      <c r="L495" s="171"/>
    </row>
    <row r="496" spans="3:12" ht="15.75" customHeight="1" x14ac:dyDescent="0.2">
      <c r="C496" s="171"/>
      <c r="D496" s="171"/>
      <c r="E496" s="171"/>
      <c r="F496" s="171"/>
      <c r="G496" s="171"/>
      <c r="H496" s="171"/>
      <c r="I496" s="171"/>
      <c r="J496" s="171"/>
      <c r="K496" s="171"/>
      <c r="L496" s="171"/>
    </row>
    <row r="497" spans="3:12" ht="15.75" customHeight="1" x14ac:dyDescent="0.2">
      <c r="C497" s="171"/>
      <c r="D497" s="171"/>
      <c r="E497" s="171"/>
      <c r="F497" s="171"/>
      <c r="G497" s="171"/>
      <c r="H497" s="171"/>
      <c r="I497" s="171"/>
      <c r="J497" s="171"/>
      <c r="K497" s="171"/>
      <c r="L497" s="171"/>
    </row>
    <row r="498" spans="3:12" ht="15.75" customHeight="1" x14ac:dyDescent="0.2">
      <c r="C498" s="171"/>
      <c r="D498" s="171"/>
      <c r="E498" s="171"/>
      <c r="F498" s="171"/>
      <c r="G498" s="171"/>
      <c r="H498" s="171"/>
      <c r="I498" s="171"/>
      <c r="J498" s="171"/>
      <c r="K498" s="171"/>
      <c r="L498" s="171"/>
    </row>
    <row r="499" spans="3:12" ht="15.75" customHeight="1" x14ac:dyDescent="0.2">
      <c r="C499" s="171"/>
      <c r="D499" s="171"/>
      <c r="E499" s="171"/>
      <c r="F499" s="171"/>
      <c r="G499" s="171"/>
      <c r="H499" s="171"/>
      <c r="I499" s="171"/>
      <c r="J499" s="171"/>
      <c r="K499" s="171"/>
      <c r="L499" s="171"/>
    </row>
    <row r="500" spans="3:12" ht="15.75" customHeight="1" x14ac:dyDescent="0.2">
      <c r="C500" s="171"/>
      <c r="D500" s="171"/>
      <c r="E500" s="171"/>
      <c r="F500" s="171"/>
      <c r="G500" s="171"/>
      <c r="H500" s="171"/>
      <c r="I500" s="171"/>
      <c r="J500" s="171"/>
      <c r="K500" s="171"/>
      <c r="L500" s="171"/>
    </row>
    <row r="501" spans="3:12" ht="15.75" customHeight="1" x14ac:dyDescent="0.2">
      <c r="C501" s="171"/>
      <c r="D501" s="171"/>
      <c r="E501" s="171"/>
      <c r="F501" s="171"/>
      <c r="G501" s="171"/>
      <c r="H501" s="171"/>
      <c r="I501" s="171"/>
      <c r="J501" s="171"/>
      <c r="K501" s="171"/>
      <c r="L501" s="171"/>
    </row>
    <row r="502" spans="3:12" ht="15.75" customHeight="1" x14ac:dyDescent="0.2">
      <c r="C502" s="171"/>
      <c r="D502" s="171"/>
      <c r="E502" s="171"/>
      <c r="F502" s="171"/>
      <c r="G502" s="171"/>
      <c r="H502" s="171"/>
      <c r="I502" s="171"/>
      <c r="J502" s="171"/>
      <c r="K502" s="171"/>
      <c r="L502" s="171"/>
    </row>
    <row r="503" spans="3:12" ht="15.75" customHeight="1" x14ac:dyDescent="0.2">
      <c r="C503" s="171"/>
      <c r="D503" s="171"/>
      <c r="E503" s="171"/>
      <c r="F503" s="171"/>
      <c r="G503" s="171"/>
      <c r="H503" s="171"/>
      <c r="I503" s="171"/>
      <c r="J503" s="171"/>
      <c r="K503" s="171"/>
      <c r="L503" s="171"/>
    </row>
    <row r="504" spans="3:12" ht="15.75" customHeight="1" x14ac:dyDescent="0.2">
      <c r="C504" s="171"/>
      <c r="D504" s="171"/>
      <c r="E504" s="171"/>
      <c r="F504" s="171"/>
      <c r="G504" s="171"/>
      <c r="H504" s="171"/>
      <c r="I504" s="171"/>
      <c r="J504" s="171"/>
      <c r="K504" s="171"/>
      <c r="L504" s="171"/>
    </row>
    <row r="505" spans="3:12" ht="15.75" customHeight="1" x14ac:dyDescent="0.2">
      <c r="C505" s="171"/>
      <c r="D505" s="171"/>
      <c r="E505" s="171"/>
      <c r="F505" s="171"/>
      <c r="G505" s="171"/>
      <c r="H505" s="171"/>
      <c r="I505" s="171"/>
      <c r="J505" s="171"/>
      <c r="K505" s="171"/>
      <c r="L505" s="171"/>
    </row>
    <row r="506" spans="3:12" ht="15.75" customHeight="1" x14ac:dyDescent="0.2">
      <c r="C506" s="171"/>
      <c r="D506" s="171"/>
      <c r="E506" s="171"/>
      <c r="F506" s="171"/>
      <c r="G506" s="171"/>
      <c r="H506" s="171"/>
      <c r="I506" s="171"/>
      <c r="J506" s="171"/>
      <c r="K506" s="171"/>
      <c r="L506" s="171"/>
    </row>
    <row r="507" spans="3:12" ht="15.75" customHeight="1" x14ac:dyDescent="0.2">
      <c r="C507" s="171"/>
      <c r="D507" s="171"/>
      <c r="E507" s="171"/>
      <c r="F507" s="171"/>
      <c r="G507" s="171"/>
      <c r="H507" s="171"/>
      <c r="I507" s="171"/>
      <c r="J507" s="171"/>
      <c r="K507" s="171"/>
      <c r="L507" s="171"/>
    </row>
    <row r="508" spans="3:12" ht="15.75" customHeight="1" x14ac:dyDescent="0.2">
      <c r="C508" s="171"/>
      <c r="D508" s="171"/>
      <c r="E508" s="171"/>
      <c r="F508" s="171"/>
      <c r="G508" s="171"/>
      <c r="H508" s="171"/>
      <c r="I508" s="171"/>
      <c r="J508" s="171"/>
      <c r="K508" s="171"/>
      <c r="L508" s="171"/>
    </row>
    <row r="509" spans="3:12" ht="15.75" customHeight="1" x14ac:dyDescent="0.2">
      <c r="C509" s="171"/>
      <c r="D509" s="171"/>
      <c r="E509" s="171"/>
      <c r="F509" s="171"/>
      <c r="G509" s="171"/>
      <c r="H509" s="171"/>
      <c r="I509" s="171"/>
      <c r="J509" s="171"/>
      <c r="K509" s="171"/>
      <c r="L509" s="171"/>
    </row>
    <row r="510" spans="3:12" ht="15.75" customHeight="1" x14ac:dyDescent="0.2">
      <c r="C510" s="171"/>
      <c r="D510" s="171"/>
      <c r="E510" s="171"/>
      <c r="F510" s="171"/>
      <c r="G510" s="171"/>
      <c r="H510" s="171"/>
      <c r="I510" s="171"/>
      <c r="J510" s="171"/>
      <c r="K510" s="171"/>
      <c r="L510" s="171"/>
    </row>
    <row r="511" spans="3:12" ht="15.75" customHeight="1" x14ac:dyDescent="0.2">
      <c r="C511" s="171"/>
      <c r="D511" s="171"/>
      <c r="E511" s="171"/>
      <c r="F511" s="171"/>
      <c r="G511" s="171"/>
      <c r="H511" s="171"/>
      <c r="I511" s="171"/>
      <c r="J511" s="171"/>
      <c r="K511" s="171"/>
      <c r="L511" s="171"/>
    </row>
    <row r="512" spans="3:12" ht="15.75" customHeight="1" x14ac:dyDescent="0.2">
      <c r="C512" s="171"/>
      <c r="D512" s="171"/>
      <c r="E512" s="171"/>
      <c r="F512" s="171"/>
      <c r="G512" s="171"/>
      <c r="H512" s="171"/>
      <c r="I512" s="171"/>
      <c r="J512" s="171"/>
      <c r="K512" s="171"/>
      <c r="L512" s="171"/>
    </row>
    <row r="513" spans="3:12" ht="15.75" customHeight="1" x14ac:dyDescent="0.2">
      <c r="C513" s="171"/>
      <c r="D513" s="171"/>
      <c r="E513" s="171"/>
      <c r="F513" s="171"/>
      <c r="G513" s="171"/>
      <c r="H513" s="171"/>
      <c r="I513" s="171"/>
      <c r="J513" s="171"/>
      <c r="K513" s="171"/>
      <c r="L513" s="171"/>
    </row>
    <row r="514" spans="3:12" ht="15.75" customHeight="1" x14ac:dyDescent="0.2">
      <c r="C514" s="171"/>
      <c r="D514" s="171"/>
      <c r="E514" s="171"/>
      <c r="F514" s="171"/>
      <c r="G514" s="171"/>
      <c r="H514" s="171"/>
      <c r="I514" s="171"/>
      <c r="J514" s="171"/>
      <c r="K514" s="171"/>
      <c r="L514" s="171"/>
    </row>
    <row r="515" spans="3:12" ht="15.75" customHeight="1" x14ac:dyDescent="0.2">
      <c r="C515" s="171"/>
      <c r="D515" s="171"/>
      <c r="E515" s="171"/>
      <c r="F515" s="171"/>
      <c r="G515" s="171"/>
      <c r="H515" s="171"/>
      <c r="I515" s="171"/>
      <c r="J515" s="171"/>
      <c r="K515" s="171"/>
      <c r="L515" s="171"/>
    </row>
    <row r="516" spans="3:12" ht="15.75" customHeight="1" x14ac:dyDescent="0.2">
      <c r="C516" s="171"/>
      <c r="D516" s="171"/>
      <c r="E516" s="171"/>
      <c r="F516" s="171"/>
      <c r="G516" s="171"/>
      <c r="H516" s="171"/>
      <c r="I516" s="171"/>
      <c r="J516" s="171"/>
      <c r="K516" s="171"/>
      <c r="L516" s="171"/>
    </row>
    <row r="517" spans="3:12" ht="15.75" customHeight="1" x14ac:dyDescent="0.2">
      <c r="C517" s="171"/>
      <c r="D517" s="171"/>
      <c r="E517" s="171"/>
      <c r="F517" s="171"/>
      <c r="G517" s="171"/>
      <c r="H517" s="171"/>
      <c r="I517" s="171"/>
      <c r="J517" s="171"/>
      <c r="K517" s="171"/>
      <c r="L517" s="171"/>
    </row>
    <row r="518" spans="3:12" ht="15.75" customHeight="1" x14ac:dyDescent="0.2">
      <c r="C518" s="171"/>
      <c r="D518" s="171"/>
      <c r="E518" s="171"/>
      <c r="F518" s="171"/>
      <c r="G518" s="171"/>
      <c r="H518" s="171"/>
      <c r="I518" s="171"/>
      <c r="J518" s="171"/>
      <c r="K518" s="171"/>
      <c r="L518" s="171"/>
    </row>
    <row r="519" spans="3:12" ht="15.75" customHeight="1" x14ac:dyDescent="0.2">
      <c r="C519" s="171"/>
      <c r="D519" s="171"/>
      <c r="E519" s="171"/>
      <c r="F519" s="171"/>
      <c r="G519" s="171"/>
      <c r="H519" s="171"/>
      <c r="I519" s="171"/>
      <c r="J519" s="171"/>
      <c r="K519" s="171"/>
      <c r="L519" s="171"/>
    </row>
    <row r="520" spans="3:12" ht="15.75" customHeight="1" x14ac:dyDescent="0.2">
      <c r="C520" s="171"/>
      <c r="D520" s="171"/>
      <c r="E520" s="171"/>
      <c r="F520" s="171"/>
      <c r="G520" s="171"/>
      <c r="H520" s="171"/>
      <c r="I520" s="171"/>
      <c r="J520" s="171"/>
      <c r="K520" s="171"/>
      <c r="L520" s="171"/>
    </row>
    <row r="521" spans="3:12" ht="15.75" customHeight="1" x14ac:dyDescent="0.2">
      <c r="C521" s="171"/>
      <c r="D521" s="171"/>
      <c r="E521" s="171"/>
      <c r="F521" s="171"/>
      <c r="G521" s="171"/>
      <c r="H521" s="171"/>
      <c r="I521" s="171"/>
      <c r="J521" s="171"/>
      <c r="K521" s="171"/>
      <c r="L521" s="171"/>
    </row>
    <row r="522" spans="3:12" ht="15.75" customHeight="1" x14ac:dyDescent="0.2">
      <c r="C522" s="171"/>
      <c r="D522" s="171"/>
      <c r="E522" s="171"/>
      <c r="F522" s="171"/>
      <c r="G522" s="171"/>
      <c r="H522" s="171"/>
      <c r="I522" s="171"/>
      <c r="J522" s="171"/>
      <c r="K522" s="171"/>
      <c r="L522" s="171"/>
    </row>
    <row r="523" spans="3:12" ht="15.75" customHeight="1" x14ac:dyDescent="0.2">
      <c r="C523" s="171"/>
      <c r="D523" s="171"/>
      <c r="E523" s="171"/>
      <c r="F523" s="171"/>
      <c r="G523" s="171"/>
      <c r="H523" s="171"/>
      <c r="I523" s="171"/>
      <c r="J523" s="171"/>
      <c r="K523" s="171"/>
      <c r="L523" s="171"/>
    </row>
    <row r="524" spans="3:12" ht="15.75" customHeight="1" x14ac:dyDescent="0.2">
      <c r="C524" s="171"/>
      <c r="D524" s="171"/>
      <c r="E524" s="171"/>
      <c r="F524" s="171"/>
      <c r="G524" s="171"/>
      <c r="H524" s="171"/>
      <c r="I524" s="171"/>
      <c r="J524" s="171"/>
      <c r="K524" s="171"/>
      <c r="L524" s="171"/>
    </row>
    <row r="525" spans="3:12" ht="15.75" customHeight="1" x14ac:dyDescent="0.2">
      <c r="C525" s="171"/>
      <c r="D525" s="171"/>
      <c r="E525" s="171"/>
      <c r="F525" s="171"/>
      <c r="G525" s="171"/>
      <c r="H525" s="171"/>
      <c r="I525" s="171"/>
      <c r="J525" s="171"/>
      <c r="K525" s="171"/>
      <c r="L525" s="171"/>
    </row>
    <row r="526" spans="3:12" ht="15.75" customHeight="1" x14ac:dyDescent="0.2">
      <c r="C526" s="171"/>
      <c r="D526" s="171"/>
      <c r="E526" s="171"/>
      <c r="F526" s="171"/>
      <c r="G526" s="171"/>
      <c r="H526" s="171"/>
      <c r="I526" s="171"/>
      <c r="J526" s="171"/>
      <c r="K526" s="171"/>
      <c r="L526" s="171"/>
    </row>
    <row r="527" spans="3:12" ht="15.75" customHeight="1" x14ac:dyDescent="0.2">
      <c r="C527" s="171"/>
      <c r="D527" s="171"/>
      <c r="E527" s="171"/>
      <c r="F527" s="171"/>
      <c r="G527" s="171"/>
      <c r="H527" s="171"/>
      <c r="I527" s="171"/>
      <c r="J527" s="171"/>
      <c r="K527" s="171"/>
      <c r="L527" s="171"/>
    </row>
    <row r="528" spans="3:12" ht="15.75" customHeight="1" x14ac:dyDescent="0.2">
      <c r="C528" s="171"/>
      <c r="D528" s="171"/>
      <c r="E528" s="171"/>
      <c r="F528" s="171"/>
      <c r="G528" s="171"/>
      <c r="H528" s="171"/>
      <c r="I528" s="171"/>
      <c r="J528" s="171"/>
      <c r="K528" s="171"/>
      <c r="L528" s="171"/>
    </row>
    <row r="529" spans="3:12" ht="15.75" customHeight="1" x14ac:dyDescent="0.2">
      <c r="C529" s="171"/>
      <c r="D529" s="171"/>
      <c r="E529" s="171"/>
      <c r="F529" s="171"/>
      <c r="G529" s="171"/>
      <c r="H529" s="171"/>
      <c r="I529" s="171"/>
      <c r="J529" s="171"/>
      <c r="K529" s="171"/>
      <c r="L529" s="171"/>
    </row>
    <row r="530" spans="3:12" ht="15.75" customHeight="1" x14ac:dyDescent="0.2">
      <c r="C530" s="171"/>
      <c r="D530" s="171"/>
      <c r="E530" s="171"/>
      <c r="F530" s="171"/>
      <c r="G530" s="171"/>
      <c r="H530" s="171"/>
      <c r="I530" s="171"/>
      <c r="J530" s="171"/>
      <c r="K530" s="171"/>
      <c r="L530" s="171"/>
    </row>
    <row r="531" spans="3:12" ht="15.75" customHeight="1" x14ac:dyDescent="0.2">
      <c r="C531" s="171"/>
      <c r="D531" s="171"/>
      <c r="E531" s="171"/>
      <c r="F531" s="171"/>
      <c r="G531" s="171"/>
      <c r="H531" s="171"/>
      <c r="I531" s="171"/>
      <c r="J531" s="171"/>
      <c r="K531" s="171"/>
      <c r="L531" s="171"/>
    </row>
    <row r="532" spans="3:12" ht="15.75" customHeight="1" x14ac:dyDescent="0.2">
      <c r="C532" s="171"/>
      <c r="D532" s="171"/>
      <c r="E532" s="171"/>
      <c r="F532" s="171"/>
      <c r="G532" s="171"/>
      <c r="H532" s="171"/>
      <c r="I532" s="171"/>
      <c r="J532" s="171"/>
      <c r="K532" s="171"/>
      <c r="L532" s="171"/>
    </row>
    <row r="533" spans="3:12" ht="15.75" customHeight="1" x14ac:dyDescent="0.2">
      <c r="C533" s="171"/>
      <c r="D533" s="171"/>
      <c r="E533" s="171"/>
      <c r="F533" s="171"/>
      <c r="G533" s="171"/>
      <c r="H533" s="171"/>
      <c r="I533" s="171"/>
      <c r="J533" s="171"/>
      <c r="K533" s="171"/>
      <c r="L533" s="171"/>
    </row>
    <row r="534" spans="3:12" ht="15.75" customHeight="1" x14ac:dyDescent="0.2">
      <c r="C534" s="171"/>
      <c r="D534" s="171"/>
      <c r="E534" s="171"/>
      <c r="F534" s="171"/>
      <c r="G534" s="171"/>
      <c r="H534" s="171"/>
      <c r="I534" s="171"/>
      <c r="J534" s="171"/>
      <c r="K534" s="171"/>
      <c r="L534" s="171"/>
    </row>
    <row r="535" spans="3:12" ht="15.75" customHeight="1" x14ac:dyDescent="0.2">
      <c r="C535" s="171"/>
      <c r="D535" s="171"/>
      <c r="E535" s="171"/>
      <c r="F535" s="171"/>
      <c r="G535" s="171"/>
      <c r="H535" s="171"/>
      <c r="I535" s="171"/>
      <c r="J535" s="171"/>
      <c r="K535" s="171"/>
      <c r="L535" s="171"/>
    </row>
    <row r="536" spans="3:12" ht="15.75" customHeight="1" x14ac:dyDescent="0.2">
      <c r="C536" s="171"/>
      <c r="D536" s="171"/>
      <c r="E536" s="171"/>
      <c r="F536" s="171"/>
      <c r="G536" s="171"/>
      <c r="H536" s="171"/>
      <c r="I536" s="171"/>
      <c r="J536" s="171"/>
      <c r="K536" s="171"/>
      <c r="L536" s="171"/>
    </row>
    <row r="537" spans="3:12" ht="15.75" customHeight="1" x14ac:dyDescent="0.2">
      <c r="C537" s="171"/>
      <c r="D537" s="171"/>
      <c r="E537" s="171"/>
      <c r="F537" s="171"/>
      <c r="G537" s="171"/>
      <c r="H537" s="171"/>
      <c r="I537" s="171"/>
      <c r="J537" s="171"/>
      <c r="K537" s="171"/>
      <c r="L537" s="171"/>
    </row>
    <row r="538" spans="3:12" ht="15.75" customHeight="1" x14ac:dyDescent="0.2">
      <c r="C538" s="171"/>
      <c r="D538" s="171"/>
      <c r="E538" s="171"/>
      <c r="F538" s="171"/>
      <c r="G538" s="171"/>
      <c r="H538" s="171"/>
      <c r="I538" s="171"/>
      <c r="J538" s="171"/>
      <c r="K538" s="171"/>
      <c r="L538" s="171"/>
    </row>
    <row r="539" spans="3:12" ht="15.75" customHeight="1" x14ac:dyDescent="0.2">
      <c r="C539" s="171"/>
      <c r="D539" s="171"/>
      <c r="E539" s="171"/>
      <c r="F539" s="171"/>
      <c r="G539" s="171"/>
      <c r="H539" s="171"/>
      <c r="I539" s="171"/>
      <c r="J539" s="171"/>
      <c r="K539" s="171"/>
      <c r="L539" s="171"/>
    </row>
    <row r="540" spans="3:12" ht="15.75" customHeight="1" x14ac:dyDescent="0.2">
      <c r="C540" s="171"/>
      <c r="D540" s="171"/>
      <c r="E540" s="171"/>
      <c r="F540" s="171"/>
      <c r="G540" s="171"/>
      <c r="H540" s="171"/>
      <c r="I540" s="171"/>
      <c r="J540" s="171"/>
      <c r="K540" s="171"/>
      <c r="L540" s="171"/>
    </row>
    <row r="541" spans="3:12" ht="15.75" customHeight="1" x14ac:dyDescent="0.2">
      <c r="C541" s="171"/>
      <c r="D541" s="171"/>
      <c r="E541" s="171"/>
      <c r="F541" s="171"/>
      <c r="G541" s="171"/>
      <c r="H541" s="171"/>
      <c r="I541" s="171"/>
      <c r="J541" s="171"/>
      <c r="K541" s="171"/>
      <c r="L541" s="171"/>
    </row>
    <row r="542" spans="3:12" ht="15.75" customHeight="1" x14ac:dyDescent="0.2">
      <c r="C542" s="171"/>
      <c r="D542" s="171"/>
      <c r="E542" s="171"/>
      <c r="F542" s="171"/>
      <c r="G542" s="171"/>
      <c r="H542" s="171"/>
      <c r="I542" s="171"/>
      <c r="J542" s="171"/>
      <c r="K542" s="171"/>
      <c r="L542" s="171"/>
    </row>
    <row r="543" spans="3:12" ht="15.75" customHeight="1" x14ac:dyDescent="0.2">
      <c r="C543" s="171"/>
      <c r="D543" s="171"/>
      <c r="E543" s="171"/>
      <c r="F543" s="171"/>
      <c r="G543" s="171"/>
      <c r="H543" s="171"/>
      <c r="I543" s="171"/>
      <c r="J543" s="171"/>
      <c r="K543" s="171"/>
      <c r="L543" s="171"/>
    </row>
    <row r="544" spans="3:12" ht="15.75" customHeight="1" x14ac:dyDescent="0.2">
      <c r="C544" s="171"/>
      <c r="D544" s="171"/>
      <c r="E544" s="171"/>
      <c r="F544" s="171"/>
      <c r="G544" s="171"/>
      <c r="H544" s="171"/>
      <c r="I544" s="171"/>
      <c r="J544" s="171"/>
      <c r="K544" s="171"/>
      <c r="L544" s="171"/>
    </row>
    <row r="545" spans="3:12" ht="15.75" customHeight="1" x14ac:dyDescent="0.2">
      <c r="C545" s="171"/>
      <c r="D545" s="171"/>
      <c r="E545" s="171"/>
      <c r="F545" s="171"/>
      <c r="G545" s="171"/>
      <c r="H545" s="171"/>
      <c r="I545" s="171"/>
      <c r="J545" s="171"/>
      <c r="K545" s="171"/>
      <c r="L545" s="171"/>
    </row>
    <row r="546" spans="3:12" ht="15.75" customHeight="1" x14ac:dyDescent="0.2">
      <c r="C546" s="171"/>
      <c r="D546" s="171"/>
      <c r="E546" s="171"/>
      <c r="F546" s="171"/>
      <c r="G546" s="171"/>
      <c r="H546" s="171"/>
      <c r="I546" s="171"/>
      <c r="J546" s="171"/>
      <c r="K546" s="171"/>
      <c r="L546" s="171"/>
    </row>
    <row r="547" spans="3:12" ht="15.75" customHeight="1" x14ac:dyDescent="0.2">
      <c r="C547" s="171"/>
      <c r="D547" s="171"/>
      <c r="E547" s="171"/>
      <c r="F547" s="171"/>
      <c r="G547" s="171"/>
      <c r="H547" s="171"/>
      <c r="I547" s="171"/>
      <c r="J547" s="171"/>
      <c r="K547" s="171"/>
      <c r="L547" s="171"/>
    </row>
    <row r="548" spans="3:12" ht="15.75" customHeight="1" x14ac:dyDescent="0.2">
      <c r="C548" s="171"/>
      <c r="D548" s="171"/>
      <c r="E548" s="171"/>
      <c r="F548" s="171"/>
      <c r="G548" s="171"/>
      <c r="H548" s="171"/>
      <c r="I548" s="171"/>
      <c r="J548" s="171"/>
      <c r="K548" s="171"/>
      <c r="L548" s="171"/>
    </row>
    <row r="549" spans="3:12" ht="15.75" customHeight="1" x14ac:dyDescent="0.2">
      <c r="C549" s="171"/>
      <c r="D549" s="171"/>
      <c r="E549" s="171"/>
      <c r="F549" s="171"/>
      <c r="G549" s="171"/>
      <c r="H549" s="171"/>
      <c r="I549" s="171"/>
      <c r="J549" s="171"/>
      <c r="K549" s="171"/>
      <c r="L549" s="171"/>
    </row>
    <row r="550" spans="3:12" ht="15.75" customHeight="1" x14ac:dyDescent="0.2">
      <c r="C550" s="171"/>
      <c r="D550" s="171"/>
      <c r="E550" s="171"/>
      <c r="F550" s="171"/>
      <c r="G550" s="171"/>
      <c r="H550" s="171"/>
      <c r="I550" s="171"/>
      <c r="J550" s="171"/>
      <c r="K550" s="171"/>
      <c r="L550" s="171"/>
    </row>
    <row r="551" spans="3:12" ht="15.75" customHeight="1" x14ac:dyDescent="0.2">
      <c r="C551" s="171"/>
      <c r="D551" s="171"/>
      <c r="E551" s="171"/>
      <c r="F551" s="171"/>
      <c r="G551" s="171"/>
      <c r="H551" s="171"/>
      <c r="I551" s="171"/>
      <c r="J551" s="171"/>
      <c r="K551" s="171"/>
      <c r="L551" s="171"/>
    </row>
    <row r="552" spans="3:12" ht="15.75" customHeight="1" x14ac:dyDescent="0.2">
      <c r="C552" s="171"/>
      <c r="D552" s="171"/>
      <c r="E552" s="171"/>
      <c r="F552" s="171"/>
      <c r="G552" s="171"/>
      <c r="H552" s="171"/>
      <c r="I552" s="171"/>
      <c r="J552" s="171"/>
      <c r="K552" s="171"/>
      <c r="L552" s="171"/>
    </row>
    <row r="553" spans="3:12" ht="15.75" customHeight="1" x14ac:dyDescent="0.2">
      <c r="C553" s="171"/>
      <c r="D553" s="171"/>
      <c r="E553" s="171"/>
      <c r="F553" s="171"/>
      <c r="G553" s="171"/>
      <c r="H553" s="171"/>
      <c r="I553" s="171"/>
      <c r="J553" s="171"/>
      <c r="K553" s="171"/>
      <c r="L553" s="171"/>
    </row>
    <row r="554" spans="3:12" ht="15.75" customHeight="1" x14ac:dyDescent="0.2">
      <c r="C554" s="171"/>
      <c r="D554" s="171"/>
      <c r="E554" s="171"/>
      <c r="F554" s="171"/>
      <c r="G554" s="171"/>
      <c r="H554" s="171"/>
      <c r="I554" s="171"/>
      <c r="J554" s="171"/>
      <c r="K554" s="171"/>
      <c r="L554" s="171"/>
    </row>
    <row r="555" spans="3:12" ht="15.75" customHeight="1" x14ac:dyDescent="0.2">
      <c r="C555" s="171"/>
      <c r="D555" s="171"/>
      <c r="E555" s="171"/>
      <c r="F555" s="171"/>
      <c r="G555" s="171"/>
      <c r="H555" s="171"/>
      <c r="I555" s="171"/>
      <c r="J555" s="171"/>
      <c r="K555" s="171"/>
      <c r="L555" s="171"/>
    </row>
    <row r="556" spans="3:12" ht="15.75" customHeight="1" x14ac:dyDescent="0.2">
      <c r="C556" s="171"/>
      <c r="D556" s="171"/>
      <c r="E556" s="171"/>
      <c r="F556" s="171"/>
      <c r="G556" s="171"/>
      <c r="H556" s="171"/>
      <c r="I556" s="171"/>
      <c r="J556" s="171"/>
      <c r="K556" s="171"/>
      <c r="L556" s="171"/>
    </row>
    <row r="557" spans="3:12" ht="15.75" customHeight="1" x14ac:dyDescent="0.2">
      <c r="C557" s="171"/>
      <c r="D557" s="171"/>
      <c r="E557" s="171"/>
      <c r="F557" s="171"/>
      <c r="G557" s="171"/>
      <c r="H557" s="171"/>
      <c r="I557" s="171"/>
      <c r="J557" s="171"/>
      <c r="K557" s="171"/>
      <c r="L557" s="171"/>
    </row>
    <row r="558" spans="3:12" ht="15.75" customHeight="1" x14ac:dyDescent="0.2">
      <c r="C558" s="171"/>
      <c r="D558" s="171"/>
      <c r="E558" s="171"/>
      <c r="F558" s="171"/>
      <c r="G558" s="171"/>
      <c r="H558" s="171"/>
      <c r="I558" s="171"/>
      <c r="J558" s="171"/>
      <c r="K558" s="171"/>
      <c r="L558" s="171"/>
    </row>
    <row r="559" spans="3:12" ht="15.75" customHeight="1" x14ac:dyDescent="0.2">
      <c r="C559" s="171"/>
      <c r="D559" s="171"/>
      <c r="E559" s="171"/>
      <c r="F559" s="171"/>
      <c r="G559" s="171"/>
      <c r="H559" s="171"/>
      <c r="I559" s="171"/>
      <c r="J559" s="171"/>
      <c r="K559" s="171"/>
      <c r="L559" s="171"/>
    </row>
    <row r="560" spans="3:12" ht="15.75" customHeight="1" x14ac:dyDescent="0.2">
      <c r="C560" s="171"/>
      <c r="D560" s="171"/>
      <c r="E560" s="171"/>
      <c r="F560" s="171"/>
      <c r="G560" s="171"/>
      <c r="H560" s="171"/>
      <c r="I560" s="171"/>
      <c r="J560" s="171"/>
      <c r="K560" s="171"/>
      <c r="L560" s="171"/>
    </row>
    <row r="561" spans="3:12" ht="15.75" customHeight="1" x14ac:dyDescent="0.2">
      <c r="C561" s="171"/>
      <c r="D561" s="171"/>
      <c r="E561" s="171"/>
      <c r="F561" s="171"/>
      <c r="G561" s="171"/>
      <c r="H561" s="171"/>
      <c r="I561" s="171"/>
      <c r="J561" s="171"/>
      <c r="K561" s="171"/>
      <c r="L561" s="171"/>
    </row>
    <row r="562" spans="3:12" ht="15.75" customHeight="1" x14ac:dyDescent="0.2">
      <c r="C562" s="171"/>
      <c r="D562" s="171"/>
      <c r="E562" s="171"/>
      <c r="F562" s="171"/>
      <c r="G562" s="171"/>
      <c r="H562" s="171"/>
      <c r="I562" s="171"/>
      <c r="J562" s="171"/>
      <c r="K562" s="171"/>
      <c r="L562" s="171"/>
    </row>
    <row r="563" spans="3:12" ht="15.75" customHeight="1" x14ac:dyDescent="0.2">
      <c r="C563" s="171"/>
      <c r="D563" s="171"/>
      <c r="E563" s="171"/>
      <c r="F563" s="171"/>
      <c r="G563" s="171"/>
      <c r="H563" s="171"/>
      <c r="I563" s="171"/>
      <c r="J563" s="171"/>
      <c r="K563" s="171"/>
      <c r="L563" s="171"/>
    </row>
    <row r="564" spans="3:12" ht="15.75" customHeight="1" x14ac:dyDescent="0.2">
      <c r="C564" s="171"/>
      <c r="D564" s="171"/>
      <c r="E564" s="171"/>
      <c r="F564" s="171"/>
      <c r="G564" s="171"/>
      <c r="H564" s="171"/>
      <c r="I564" s="171"/>
      <c r="J564" s="171"/>
      <c r="K564" s="171"/>
      <c r="L564" s="171"/>
    </row>
    <row r="565" spans="3:12" ht="15.75" customHeight="1" x14ac:dyDescent="0.2">
      <c r="C565" s="171"/>
      <c r="D565" s="171"/>
      <c r="E565" s="171"/>
      <c r="F565" s="171"/>
      <c r="G565" s="171"/>
      <c r="H565" s="171"/>
      <c r="I565" s="171"/>
      <c r="J565" s="171"/>
      <c r="K565" s="171"/>
      <c r="L565" s="171"/>
    </row>
    <row r="566" spans="3:12" ht="15.75" customHeight="1" x14ac:dyDescent="0.2">
      <c r="C566" s="171"/>
      <c r="D566" s="171"/>
      <c r="E566" s="171"/>
      <c r="F566" s="171"/>
      <c r="G566" s="171"/>
      <c r="H566" s="171"/>
      <c r="I566" s="171"/>
      <c r="J566" s="171"/>
      <c r="K566" s="171"/>
      <c r="L566" s="171"/>
    </row>
    <row r="567" spans="3:12" ht="15.75" customHeight="1" x14ac:dyDescent="0.2">
      <c r="C567" s="171"/>
      <c r="D567" s="171"/>
      <c r="E567" s="171"/>
      <c r="F567" s="171"/>
      <c r="G567" s="171"/>
      <c r="H567" s="171"/>
      <c r="I567" s="171"/>
      <c r="J567" s="171"/>
      <c r="K567" s="171"/>
      <c r="L567" s="171"/>
    </row>
    <row r="568" spans="3:12" ht="15.75" customHeight="1" x14ac:dyDescent="0.2">
      <c r="C568" s="171"/>
      <c r="D568" s="171"/>
      <c r="E568" s="171"/>
      <c r="F568" s="171"/>
      <c r="G568" s="171"/>
      <c r="H568" s="171"/>
      <c r="I568" s="171"/>
      <c r="J568" s="171"/>
      <c r="K568" s="171"/>
      <c r="L568" s="171"/>
    </row>
    <row r="569" spans="3:12" ht="15.75" customHeight="1" x14ac:dyDescent="0.2">
      <c r="C569" s="171"/>
      <c r="D569" s="171"/>
      <c r="E569" s="171"/>
      <c r="F569" s="171"/>
      <c r="G569" s="171"/>
      <c r="H569" s="171"/>
      <c r="I569" s="171"/>
      <c r="J569" s="171"/>
      <c r="K569" s="171"/>
      <c r="L569" s="171"/>
    </row>
    <row r="570" spans="3:12" ht="15.75" customHeight="1" x14ac:dyDescent="0.2">
      <c r="C570" s="171"/>
      <c r="D570" s="171"/>
      <c r="E570" s="171"/>
      <c r="F570" s="171"/>
      <c r="G570" s="171"/>
      <c r="H570" s="171"/>
      <c r="I570" s="171"/>
      <c r="J570" s="171"/>
      <c r="K570" s="171"/>
      <c r="L570" s="171"/>
    </row>
    <row r="571" spans="3:12" ht="15.75" customHeight="1" x14ac:dyDescent="0.2">
      <c r="C571" s="171"/>
      <c r="D571" s="171"/>
      <c r="E571" s="171"/>
      <c r="F571" s="171"/>
      <c r="G571" s="171"/>
      <c r="H571" s="171"/>
      <c r="I571" s="171"/>
      <c r="J571" s="171"/>
      <c r="K571" s="171"/>
      <c r="L571" s="171"/>
    </row>
    <row r="572" spans="3:12" ht="15.75" customHeight="1" x14ac:dyDescent="0.2">
      <c r="C572" s="171"/>
      <c r="D572" s="171"/>
      <c r="E572" s="171"/>
      <c r="F572" s="171"/>
      <c r="G572" s="171"/>
      <c r="H572" s="171"/>
      <c r="I572" s="171"/>
      <c r="J572" s="171"/>
      <c r="K572" s="171"/>
      <c r="L572" s="171"/>
    </row>
    <row r="573" spans="3:12" ht="15.75" customHeight="1" x14ac:dyDescent="0.2">
      <c r="C573" s="171"/>
      <c r="D573" s="171"/>
      <c r="E573" s="171"/>
      <c r="F573" s="171"/>
      <c r="G573" s="171"/>
      <c r="H573" s="171"/>
      <c r="I573" s="171"/>
      <c r="J573" s="171"/>
      <c r="K573" s="171"/>
      <c r="L573" s="171"/>
    </row>
    <row r="574" spans="3:12" ht="15.75" customHeight="1" x14ac:dyDescent="0.2">
      <c r="C574" s="171"/>
      <c r="D574" s="171"/>
      <c r="E574" s="171"/>
      <c r="F574" s="171"/>
      <c r="G574" s="171"/>
      <c r="H574" s="171"/>
      <c r="I574" s="171"/>
      <c r="J574" s="171"/>
      <c r="K574" s="171"/>
      <c r="L574" s="171"/>
    </row>
    <row r="575" spans="3:12" ht="15.75" customHeight="1" x14ac:dyDescent="0.2">
      <c r="C575" s="171"/>
      <c r="D575" s="171"/>
      <c r="E575" s="171"/>
      <c r="F575" s="171"/>
      <c r="G575" s="171"/>
      <c r="H575" s="171"/>
      <c r="I575" s="171"/>
      <c r="J575" s="171"/>
      <c r="K575" s="171"/>
      <c r="L575" s="171"/>
    </row>
    <row r="576" spans="3:12" ht="15.75" customHeight="1" x14ac:dyDescent="0.2">
      <c r="C576" s="171"/>
      <c r="D576" s="171"/>
      <c r="E576" s="171"/>
      <c r="F576" s="171"/>
      <c r="G576" s="171"/>
      <c r="H576" s="171"/>
      <c r="I576" s="171"/>
      <c r="J576" s="171"/>
      <c r="K576" s="171"/>
      <c r="L576" s="171"/>
    </row>
    <row r="577" spans="3:12" ht="15.75" customHeight="1" x14ac:dyDescent="0.2">
      <c r="C577" s="171"/>
      <c r="D577" s="171"/>
      <c r="E577" s="171"/>
      <c r="F577" s="171"/>
      <c r="G577" s="171"/>
      <c r="H577" s="171"/>
      <c r="I577" s="171"/>
      <c r="J577" s="171"/>
      <c r="K577" s="171"/>
      <c r="L577" s="171"/>
    </row>
    <row r="578" spans="3:12" ht="15.75" customHeight="1" x14ac:dyDescent="0.2">
      <c r="C578" s="171"/>
      <c r="D578" s="171"/>
      <c r="E578" s="171"/>
      <c r="F578" s="171"/>
      <c r="G578" s="171"/>
      <c r="H578" s="171"/>
      <c r="I578" s="171"/>
      <c r="J578" s="171"/>
      <c r="K578" s="171"/>
      <c r="L578" s="171"/>
    </row>
    <row r="579" spans="3:12" ht="15.75" customHeight="1" x14ac:dyDescent="0.2">
      <c r="C579" s="171"/>
      <c r="D579" s="171"/>
      <c r="E579" s="171"/>
      <c r="F579" s="171"/>
      <c r="G579" s="171"/>
      <c r="H579" s="171"/>
      <c r="I579" s="171"/>
      <c r="J579" s="171"/>
      <c r="K579" s="171"/>
      <c r="L579" s="171"/>
    </row>
    <row r="580" spans="3:12" ht="15.75" customHeight="1" x14ac:dyDescent="0.2">
      <c r="C580" s="171"/>
      <c r="D580" s="171"/>
      <c r="E580" s="171"/>
      <c r="F580" s="171"/>
      <c r="G580" s="171"/>
      <c r="H580" s="171"/>
      <c r="I580" s="171"/>
      <c r="J580" s="171"/>
      <c r="K580" s="171"/>
      <c r="L580" s="171"/>
    </row>
    <row r="581" spans="3:12" ht="15.75" customHeight="1" x14ac:dyDescent="0.2">
      <c r="C581" s="171"/>
      <c r="D581" s="171"/>
      <c r="E581" s="171"/>
      <c r="F581" s="171"/>
      <c r="G581" s="171"/>
      <c r="H581" s="171"/>
      <c r="I581" s="171"/>
      <c r="J581" s="171"/>
      <c r="K581" s="171"/>
      <c r="L581" s="171"/>
    </row>
    <row r="582" spans="3:12" ht="15.75" customHeight="1" x14ac:dyDescent="0.2">
      <c r="C582" s="171"/>
      <c r="D582" s="171"/>
      <c r="E582" s="171"/>
      <c r="F582" s="171"/>
      <c r="G582" s="171"/>
      <c r="H582" s="171"/>
      <c r="I582" s="171"/>
      <c r="J582" s="171"/>
      <c r="K582" s="171"/>
      <c r="L582" s="171"/>
    </row>
    <row r="583" spans="3:12" ht="15.75" customHeight="1" x14ac:dyDescent="0.2">
      <c r="C583" s="171"/>
      <c r="D583" s="171"/>
      <c r="E583" s="171"/>
      <c r="F583" s="171"/>
      <c r="G583" s="171"/>
      <c r="H583" s="171"/>
      <c r="I583" s="171"/>
      <c r="J583" s="171"/>
      <c r="K583" s="171"/>
      <c r="L583" s="171"/>
    </row>
    <row r="584" spans="3:12" ht="15.75" customHeight="1" x14ac:dyDescent="0.2">
      <c r="C584" s="171"/>
      <c r="D584" s="171"/>
      <c r="E584" s="171"/>
      <c r="F584" s="171"/>
      <c r="G584" s="171"/>
      <c r="H584" s="171"/>
      <c r="I584" s="171"/>
      <c r="J584" s="171"/>
      <c r="K584" s="171"/>
      <c r="L584" s="171"/>
    </row>
    <row r="585" spans="3:12" ht="15.75" customHeight="1" x14ac:dyDescent="0.2">
      <c r="C585" s="171"/>
      <c r="D585" s="171"/>
      <c r="E585" s="171"/>
      <c r="F585" s="171"/>
      <c r="G585" s="171"/>
      <c r="H585" s="171"/>
      <c r="I585" s="171"/>
      <c r="J585" s="171"/>
      <c r="K585" s="171"/>
      <c r="L585" s="171"/>
    </row>
    <row r="586" spans="3:12" ht="15.75" customHeight="1" x14ac:dyDescent="0.2">
      <c r="C586" s="171"/>
      <c r="D586" s="171"/>
      <c r="E586" s="171"/>
      <c r="F586" s="171"/>
      <c r="G586" s="171"/>
      <c r="H586" s="171"/>
      <c r="I586" s="171"/>
      <c r="J586" s="171"/>
      <c r="K586" s="171"/>
      <c r="L586" s="171"/>
    </row>
    <row r="587" spans="3:12" ht="15.75" customHeight="1" x14ac:dyDescent="0.2">
      <c r="C587" s="171"/>
      <c r="D587" s="171"/>
      <c r="E587" s="171"/>
      <c r="F587" s="171"/>
      <c r="G587" s="171"/>
      <c r="H587" s="171"/>
      <c r="I587" s="171"/>
      <c r="J587" s="171"/>
      <c r="K587" s="171"/>
      <c r="L587" s="171"/>
    </row>
    <row r="588" spans="3:12" ht="15.75" customHeight="1" x14ac:dyDescent="0.2">
      <c r="C588" s="171"/>
      <c r="D588" s="171"/>
      <c r="E588" s="171"/>
      <c r="F588" s="171"/>
      <c r="G588" s="171"/>
      <c r="H588" s="171"/>
      <c r="I588" s="171"/>
      <c r="J588" s="171"/>
      <c r="K588" s="171"/>
      <c r="L588" s="171"/>
    </row>
    <row r="589" spans="3:12" ht="15.75" customHeight="1" x14ac:dyDescent="0.2">
      <c r="C589" s="171"/>
      <c r="D589" s="171"/>
      <c r="E589" s="171"/>
      <c r="F589" s="171"/>
      <c r="G589" s="171"/>
      <c r="H589" s="171"/>
      <c r="I589" s="171"/>
      <c r="J589" s="171"/>
      <c r="K589" s="171"/>
      <c r="L589" s="171"/>
    </row>
    <row r="590" spans="3:12" ht="15.75" customHeight="1" x14ac:dyDescent="0.2">
      <c r="C590" s="171"/>
      <c r="D590" s="171"/>
      <c r="E590" s="171"/>
      <c r="F590" s="171"/>
      <c r="G590" s="171"/>
      <c r="H590" s="171"/>
      <c r="I590" s="171"/>
      <c r="J590" s="171"/>
      <c r="K590" s="171"/>
      <c r="L590" s="171"/>
    </row>
    <row r="591" spans="3:12" ht="15.75" customHeight="1" x14ac:dyDescent="0.2">
      <c r="C591" s="171"/>
      <c r="D591" s="171"/>
      <c r="E591" s="171"/>
      <c r="F591" s="171"/>
      <c r="G591" s="171"/>
      <c r="H591" s="171"/>
      <c r="I591" s="171"/>
      <c r="J591" s="171"/>
      <c r="K591" s="171"/>
      <c r="L591" s="171"/>
    </row>
    <row r="592" spans="3:12" ht="15.75" customHeight="1" x14ac:dyDescent="0.2">
      <c r="C592" s="171"/>
      <c r="D592" s="171"/>
      <c r="E592" s="171"/>
      <c r="F592" s="171"/>
      <c r="G592" s="171"/>
      <c r="H592" s="171"/>
      <c r="I592" s="171"/>
      <c r="J592" s="171"/>
      <c r="K592" s="171"/>
      <c r="L592" s="171"/>
    </row>
    <row r="593" spans="3:12" ht="15.75" customHeight="1" x14ac:dyDescent="0.2">
      <c r="C593" s="171"/>
      <c r="D593" s="171"/>
      <c r="E593" s="171"/>
      <c r="F593" s="171"/>
      <c r="G593" s="171"/>
      <c r="H593" s="171"/>
      <c r="I593" s="171"/>
      <c r="J593" s="171"/>
      <c r="K593" s="171"/>
      <c r="L593" s="171"/>
    </row>
    <row r="594" spans="3:12" ht="15.75" customHeight="1" x14ac:dyDescent="0.2">
      <c r="C594" s="171"/>
      <c r="D594" s="171"/>
      <c r="E594" s="171"/>
      <c r="F594" s="171"/>
      <c r="G594" s="171"/>
      <c r="H594" s="171"/>
      <c r="I594" s="171"/>
      <c r="J594" s="171"/>
      <c r="K594" s="171"/>
      <c r="L594" s="171"/>
    </row>
    <row r="595" spans="3:12" ht="15.75" customHeight="1" x14ac:dyDescent="0.2">
      <c r="C595" s="171"/>
      <c r="D595" s="171"/>
      <c r="E595" s="171"/>
      <c r="F595" s="171"/>
      <c r="G595" s="171"/>
      <c r="H595" s="171"/>
      <c r="I595" s="171"/>
      <c r="J595" s="171"/>
      <c r="K595" s="171"/>
      <c r="L595" s="171"/>
    </row>
    <row r="596" spans="3:12" ht="15.75" customHeight="1" x14ac:dyDescent="0.2">
      <c r="C596" s="171"/>
      <c r="D596" s="171"/>
      <c r="E596" s="171"/>
      <c r="F596" s="171"/>
      <c r="G596" s="171"/>
      <c r="H596" s="171"/>
      <c r="I596" s="171"/>
      <c r="J596" s="171"/>
      <c r="K596" s="171"/>
      <c r="L596" s="171"/>
    </row>
    <row r="597" spans="3:12" ht="15.75" customHeight="1" x14ac:dyDescent="0.2">
      <c r="C597" s="171"/>
      <c r="D597" s="171"/>
      <c r="E597" s="171"/>
      <c r="F597" s="171"/>
      <c r="G597" s="171"/>
      <c r="H597" s="171"/>
      <c r="I597" s="171"/>
      <c r="J597" s="171"/>
      <c r="K597" s="171"/>
      <c r="L597" s="171"/>
    </row>
    <row r="598" spans="3:12" ht="15.75" customHeight="1" x14ac:dyDescent="0.2">
      <c r="C598" s="171"/>
      <c r="D598" s="171"/>
      <c r="E598" s="171"/>
      <c r="F598" s="171"/>
      <c r="G598" s="171"/>
      <c r="H598" s="171"/>
      <c r="I598" s="171"/>
      <c r="J598" s="171"/>
      <c r="K598" s="171"/>
      <c r="L598" s="171"/>
    </row>
    <row r="599" spans="3:12" ht="15.75" customHeight="1" x14ac:dyDescent="0.2">
      <c r="C599" s="171"/>
      <c r="D599" s="171"/>
      <c r="E599" s="171"/>
      <c r="F599" s="171"/>
      <c r="G599" s="171"/>
      <c r="H599" s="171"/>
      <c r="I599" s="171"/>
      <c r="J599" s="171"/>
      <c r="K599" s="171"/>
      <c r="L599" s="171"/>
    </row>
    <row r="600" spans="3:12" ht="15.75" customHeight="1" x14ac:dyDescent="0.2">
      <c r="C600" s="171"/>
      <c r="D600" s="171"/>
      <c r="E600" s="171"/>
      <c r="F600" s="171"/>
      <c r="G600" s="171"/>
      <c r="H600" s="171"/>
      <c r="I600" s="171"/>
      <c r="J600" s="171"/>
      <c r="K600" s="171"/>
      <c r="L600" s="171"/>
    </row>
    <row r="601" spans="3:12" ht="15.75" customHeight="1" x14ac:dyDescent="0.2">
      <c r="C601" s="171"/>
      <c r="D601" s="171"/>
      <c r="E601" s="171"/>
      <c r="F601" s="171"/>
      <c r="G601" s="171"/>
      <c r="H601" s="171"/>
      <c r="I601" s="171"/>
      <c r="J601" s="171"/>
      <c r="K601" s="171"/>
      <c r="L601" s="171"/>
    </row>
    <row r="602" spans="3:12" ht="15.75" customHeight="1" x14ac:dyDescent="0.2">
      <c r="C602" s="171"/>
      <c r="D602" s="171"/>
      <c r="E602" s="171"/>
      <c r="F602" s="171"/>
      <c r="G602" s="171"/>
      <c r="H602" s="171"/>
      <c r="I602" s="171"/>
      <c r="J602" s="171"/>
      <c r="K602" s="171"/>
      <c r="L602" s="171"/>
    </row>
    <row r="603" spans="3:12" ht="15.75" customHeight="1" x14ac:dyDescent="0.2">
      <c r="C603" s="171"/>
      <c r="D603" s="171"/>
      <c r="E603" s="171"/>
      <c r="F603" s="171"/>
      <c r="G603" s="171"/>
      <c r="H603" s="171"/>
      <c r="I603" s="171"/>
      <c r="J603" s="171"/>
      <c r="K603" s="171"/>
      <c r="L603" s="171"/>
    </row>
    <row r="604" spans="3:12" ht="15.75" customHeight="1" x14ac:dyDescent="0.2">
      <c r="C604" s="171"/>
      <c r="D604" s="171"/>
      <c r="E604" s="171"/>
      <c r="F604" s="171"/>
      <c r="G604" s="171"/>
      <c r="H604" s="171"/>
      <c r="I604" s="171"/>
      <c r="J604" s="171"/>
      <c r="K604" s="171"/>
      <c r="L604" s="171"/>
    </row>
    <row r="605" spans="3:12" ht="15.75" customHeight="1" x14ac:dyDescent="0.2">
      <c r="C605" s="171"/>
      <c r="D605" s="171"/>
      <c r="E605" s="171"/>
      <c r="F605" s="171"/>
      <c r="G605" s="171"/>
      <c r="H605" s="171"/>
      <c r="I605" s="171"/>
      <c r="J605" s="171"/>
      <c r="K605" s="171"/>
      <c r="L605" s="171"/>
    </row>
    <row r="606" spans="3:12" ht="15.75" customHeight="1" x14ac:dyDescent="0.2">
      <c r="C606" s="171"/>
      <c r="D606" s="171"/>
      <c r="E606" s="171"/>
      <c r="F606" s="171"/>
      <c r="G606" s="171"/>
      <c r="H606" s="171"/>
      <c r="I606" s="171"/>
      <c r="J606" s="171"/>
      <c r="K606" s="171"/>
      <c r="L606" s="171"/>
    </row>
    <row r="607" spans="3:12" ht="15.75" customHeight="1" x14ac:dyDescent="0.2">
      <c r="C607" s="171"/>
      <c r="D607" s="171"/>
      <c r="E607" s="171"/>
      <c r="F607" s="171"/>
      <c r="G607" s="171"/>
      <c r="H607" s="171"/>
      <c r="I607" s="171"/>
      <c r="J607" s="171"/>
      <c r="K607" s="171"/>
      <c r="L607" s="171"/>
    </row>
    <row r="608" spans="3:12" ht="15.75" customHeight="1" x14ac:dyDescent="0.2">
      <c r="C608" s="171"/>
      <c r="D608" s="171"/>
      <c r="E608" s="171"/>
      <c r="F608" s="171"/>
      <c r="G608" s="171"/>
      <c r="H608" s="171"/>
      <c r="I608" s="171"/>
      <c r="J608" s="171"/>
      <c r="K608" s="171"/>
      <c r="L608" s="171"/>
    </row>
    <row r="609" spans="3:12" ht="15.75" customHeight="1" x14ac:dyDescent="0.2">
      <c r="C609" s="171"/>
      <c r="D609" s="171"/>
      <c r="E609" s="171"/>
      <c r="F609" s="171"/>
      <c r="G609" s="171"/>
      <c r="H609" s="171"/>
      <c r="I609" s="171"/>
      <c r="J609" s="171"/>
      <c r="K609" s="171"/>
      <c r="L609" s="171"/>
    </row>
    <row r="610" spans="3:12" ht="15.75" customHeight="1" x14ac:dyDescent="0.2">
      <c r="C610" s="171"/>
      <c r="D610" s="171"/>
      <c r="E610" s="171"/>
      <c r="F610" s="171"/>
      <c r="G610" s="171"/>
      <c r="H610" s="171"/>
      <c r="I610" s="171"/>
      <c r="J610" s="171"/>
      <c r="K610" s="171"/>
      <c r="L610" s="171"/>
    </row>
    <row r="611" spans="3:12" ht="15.75" customHeight="1" x14ac:dyDescent="0.2">
      <c r="C611" s="171"/>
      <c r="D611" s="171"/>
      <c r="E611" s="171"/>
      <c r="F611" s="171"/>
      <c r="G611" s="171"/>
      <c r="H611" s="171"/>
      <c r="I611" s="171"/>
      <c r="J611" s="171"/>
      <c r="K611" s="171"/>
      <c r="L611" s="171"/>
    </row>
    <row r="612" spans="3:12" ht="15.75" customHeight="1" x14ac:dyDescent="0.2">
      <c r="C612" s="171"/>
      <c r="D612" s="171"/>
      <c r="E612" s="171"/>
      <c r="F612" s="171"/>
      <c r="G612" s="171"/>
      <c r="H612" s="171"/>
      <c r="I612" s="171"/>
      <c r="J612" s="171"/>
      <c r="K612" s="171"/>
      <c r="L612" s="171"/>
    </row>
    <row r="613" spans="3:12" ht="15.75" customHeight="1" x14ac:dyDescent="0.2">
      <c r="C613" s="171"/>
      <c r="D613" s="171"/>
      <c r="E613" s="171"/>
      <c r="F613" s="171"/>
      <c r="G613" s="171"/>
      <c r="H613" s="171"/>
      <c r="I613" s="171"/>
      <c r="J613" s="171"/>
      <c r="K613" s="171"/>
      <c r="L613" s="171"/>
    </row>
    <row r="614" spans="3:12" ht="15.75" customHeight="1" x14ac:dyDescent="0.2">
      <c r="C614" s="171"/>
      <c r="D614" s="171"/>
      <c r="E614" s="171"/>
      <c r="F614" s="171"/>
      <c r="G614" s="171"/>
      <c r="H614" s="171"/>
      <c r="I614" s="171"/>
      <c r="J614" s="171"/>
      <c r="K614" s="171"/>
      <c r="L614" s="171"/>
    </row>
    <row r="615" spans="3:12" ht="15.75" customHeight="1" x14ac:dyDescent="0.2">
      <c r="C615" s="171"/>
      <c r="D615" s="171"/>
      <c r="E615" s="171"/>
      <c r="F615" s="171"/>
      <c r="G615" s="171"/>
      <c r="H615" s="171"/>
      <c r="I615" s="171"/>
      <c r="J615" s="171"/>
      <c r="K615" s="171"/>
      <c r="L615" s="171"/>
    </row>
    <row r="616" spans="3:12" ht="15.75" customHeight="1" x14ac:dyDescent="0.2">
      <c r="C616" s="171"/>
      <c r="D616" s="171"/>
      <c r="E616" s="171"/>
      <c r="F616" s="171"/>
      <c r="G616" s="171"/>
      <c r="H616" s="171"/>
      <c r="I616" s="171"/>
      <c r="J616" s="171"/>
      <c r="K616" s="171"/>
      <c r="L616" s="171"/>
    </row>
    <row r="617" spans="3:12" ht="15.75" customHeight="1" x14ac:dyDescent="0.2">
      <c r="C617" s="171"/>
      <c r="D617" s="171"/>
      <c r="E617" s="171"/>
      <c r="F617" s="171"/>
      <c r="G617" s="171"/>
      <c r="H617" s="171"/>
      <c r="I617" s="171"/>
      <c r="J617" s="171"/>
      <c r="K617" s="171"/>
      <c r="L617" s="171"/>
    </row>
    <row r="618" spans="3:12" ht="15.75" customHeight="1" x14ac:dyDescent="0.2">
      <c r="C618" s="171"/>
      <c r="D618" s="171"/>
      <c r="E618" s="171"/>
      <c r="F618" s="171"/>
      <c r="G618" s="171"/>
      <c r="H618" s="171"/>
      <c r="I618" s="171"/>
      <c r="J618" s="171"/>
      <c r="K618" s="171"/>
      <c r="L618" s="171"/>
    </row>
    <row r="619" spans="3:12" ht="15.75" customHeight="1" x14ac:dyDescent="0.2">
      <c r="C619" s="171"/>
      <c r="D619" s="171"/>
      <c r="E619" s="171"/>
      <c r="F619" s="171"/>
      <c r="G619" s="171"/>
      <c r="H619" s="171"/>
      <c r="I619" s="171"/>
      <c r="J619" s="171"/>
      <c r="K619" s="171"/>
      <c r="L619" s="171"/>
    </row>
    <row r="620" spans="3:12" ht="15.75" customHeight="1" x14ac:dyDescent="0.2">
      <c r="C620" s="171"/>
      <c r="D620" s="171"/>
      <c r="E620" s="171"/>
      <c r="F620" s="171"/>
      <c r="G620" s="171"/>
      <c r="H620" s="171"/>
      <c r="I620" s="171"/>
      <c r="J620" s="171"/>
      <c r="K620" s="171"/>
      <c r="L620" s="171"/>
    </row>
    <row r="621" spans="3:12" ht="15.75" customHeight="1" x14ac:dyDescent="0.2">
      <c r="C621" s="171"/>
      <c r="D621" s="171"/>
      <c r="E621" s="171"/>
      <c r="F621" s="171"/>
      <c r="G621" s="171"/>
      <c r="H621" s="171"/>
      <c r="I621" s="171"/>
      <c r="J621" s="171"/>
      <c r="K621" s="171"/>
      <c r="L621" s="171"/>
    </row>
    <row r="622" spans="3:12" ht="15.75" customHeight="1" x14ac:dyDescent="0.2">
      <c r="C622" s="171"/>
      <c r="D622" s="171"/>
      <c r="E622" s="171"/>
      <c r="F622" s="171"/>
      <c r="G622" s="171"/>
      <c r="H622" s="171"/>
      <c r="I622" s="171"/>
      <c r="J622" s="171"/>
      <c r="K622" s="171"/>
      <c r="L622" s="171"/>
    </row>
    <row r="623" spans="3:12" ht="15.75" customHeight="1" x14ac:dyDescent="0.2">
      <c r="C623" s="171"/>
      <c r="D623" s="171"/>
      <c r="E623" s="171"/>
      <c r="F623" s="171"/>
      <c r="G623" s="171"/>
      <c r="H623" s="171"/>
      <c r="I623" s="171"/>
      <c r="J623" s="171"/>
      <c r="K623" s="171"/>
      <c r="L623" s="171"/>
    </row>
    <row r="624" spans="3:12" ht="15.75" customHeight="1" x14ac:dyDescent="0.2">
      <c r="C624" s="171"/>
      <c r="D624" s="171"/>
      <c r="E624" s="171"/>
      <c r="F624" s="171"/>
      <c r="G624" s="171"/>
      <c r="H624" s="171"/>
      <c r="I624" s="171"/>
      <c r="J624" s="171"/>
      <c r="K624" s="171"/>
      <c r="L624" s="171"/>
    </row>
    <row r="625" spans="3:12" ht="15.75" customHeight="1" x14ac:dyDescent="0.2">
      <c r="C625" s="171"/>
      <c r="D625" s="171"/>
      <c r="E625" s="171"/>
      <c r="F625" s="171"/>
      <c r="G625" s="171"/>
      <c r="H625" s="171"/>
      <c r="I625" s="171"/>
      <c r="J625" s="171"/>
      <c r="K625" s="171"/>
      <c r="L625" s="171"/>
    </row>
    <row r="626" spans="3:12" ht="15.75" customHeight="1" x14ac:dyDescent="0.2">
      <c r="C626" s="171"/>
      <c r="D626" s="171"/>
      <c r="E626" s="171"/>
      <c r="F626" s="171"/>
      <c r="G626" s="171"/>
      <c r="H626" s="171"/>
      <c r="I626" s="171"/>
      <c r="J626" s="171"/>
      <c r="K626" s="171"/>
      <c r="L626" s="171"/>
    </row>
    <row r="627" spans="3:12" ht="15.75" customHeight="1" x14ac:dyDescent="0.2">
      <c r="C627" s="171"/>
      <c r="D627" s="171"/>
      <c r="E627" s="171"/>
      <c r="F627" s="171"/>
      <c r="G627" s="171"/>
      <c r="H627" s="171"/>
      <c r="I627" s="171"/>
      <c r="J627" s="171"/>
      <c r="K627" s="171"/>
      <c r="L627" s="171"/>
    </row>
    <row r="628" spans="3:12" ht="15.75" customHeight="1" x14ac:dyDescent="0.2">
      <c r="C628" s="171"/>
      <c r="D628" s="171"/>
      <c r="E628" s="171"/>
      <c r="F628" s="171"/>
      <c r="G628" s="171"/>
      <c r="H628" s="171"/>
      <c r="I628" s="171"/>
      <c r="J628" s="171"/>
      <c r="K628" s="171"/>
      <c r="L628" s="171"/>
    </row>
    <row r="629" spans="3:12" ht="15.75" customHeight="1" x14ac:dyDescent="0.2">
      <c r="C629" s="171"/>
      <c r="D629" s="171"/>
      <c r="E629" s="171"/>
      <c r="F629" s="171"/>
      <c r="G629" s="171"/>
      <c r="H629" s="171"/>
      <c r="I629" s="171"/>
      <c r="J629" s="171"/>
      <c r="K629" s="171"/>
      <c r="L629" s="171"/>
    </row>
    <row r="630" spans="3:12" ht="15.75" customHeight="1" x14ac:dyDescent="0.2">
      <c r="C630" s="171"/>
      <c r="D630" s="171"/>
      <c r="E630" s="171"/>
      <c r="F630" s="171"/>
      <c r="G630" s="171"/>
      <c r="H630" s="171"/>
      <c r="I630" s="171"/>
      <c r="J630" s="171"/>
      <c r="K630" s="171"/>
      <c r="L630" s="171"/>
    </row>
    <row r="631" spans="3:12" ht="15.75" customHeight="1" x14ac:dyDescent="0.2">
      <c r="C631" s="171"/>
      <c r="D631" s="171"/>
      <c r="E631" s="171"/>
      <c r="F631" s="171"/>
      <c r="G631" s="171"/>
      <c r="H631" s="171"/>
      <c r="I631" s="171"/>
      <c r="J631" s="171"/>
      <c r="K631" s="171"/>
      <c r="L631" s="171"/>
    </row>
    <row r="632" spans="3:12" ht="15.75" customHeight="1" x14ac:dyDescent="0.2">
      <c r="C632" s="171"/>
      <c r="D632" s="171"/>
      <c r="E632" s="171"/>
      <c r="F632" s="171"/>
      <c r="G632" s="171"/>
      <c r="H632" s="171"/>
      <c r="I632" s="171"/>
      <c r="J632" s="171"/>
      <c r="K632" s="171"/>
      <c r="L632" s="171"/>
    </row>
    <row r="633" spans="3:12" ht="15.75" customHeight="1" x14ac:dyDescent="0.2">
      <c r="C633" s="171"/>
      <c r="D633" s="171"/>
      <c r="E633" s="171"/>
      <c r="F633" s="171"/>
      <c r="G633" s="171"/>
      <c r="H633" s="171"/>
      <c r="I633" s="171"/>
      <c r="J633" s="171"/>
      <c r="K633" s="171"/>
      <c r="L633" s="171"/>
    </row>
    <row r="634" spans="3:12" ht="15.75" customHeight="1" x14ac:dyDescent="0.2">
      <c r="C634" s="171"/>
      <c r="D634" s="171"/>
      <c r="E634" s="171"/>
      <c r="F634" s="171"/>
      <c r="G634" s="171"/>
      <c r="H634" s="171"/>
      <c r="I634" s="171"/>
      <c r="J634" s="171"/>
      <c r="K634" s="171"/>
      <c r="L634" s="171"/>
    </row>
    <row r="635" spans="3:12" ht="15.75" customHeight="1" x14ac:dyDescent="0.2">
      <c r="C635" s="171"/>
      <c r="D635" s="171"/>
      <c r="E635" s="171"/>
      <c r="F635" s="171"/>
      <c r="G635" s="171"/>
      <c r="H635" s="171"/>
      <c r="I635" s="171"/>
      <c r="J635" s="171"/>
      <c r="K635" s="171"/>
      <c r="L635" s="171"/>
    </row>
    <row r="636" spans="3:12" ht="15.75" customHeight="1" x14ac:dyDescent="0.2">
      <c r="C636" s="171"/>
      <c r="D636" s="171"/>
      <c r="E636" s="171"/>
      <c r="F636" s="171"/>
      <c r="G636" s="171"/>
      <c r="H636" s="171"/>
      <c r="I636" s="171"/>
      <c r="J636" s="171"/>
      <c r="K636" s="171"/>
      <c r="L636" s="171"/>
    </row>
    <row r="637" spans="3:12" ht="15.75" customHeight="1" x14ac:dyDescent="0.2">
      <c r="C637" s="171"/>
      <c r="D637" s="171"/>
      <c r="E637" s="171"/>
      <c r="F637" s="171"/>
      <c r="G637" s="171"/>
      <c r="H637" s="171"/>
      <c r="I637" s="171"/>
      <c r="J637" s="171"/>
      <c r="K637" s="171"/>
      <c r="L637" s="171"/>
    </row>
    <row r="638" spans="3:12" ht="15.75" customHeight="1" x14ac:dyDescent="0.2">
      <c r="C638" s="171"/>
      <c r="D638" s="171"/>
      <c r="E638" s="171"/>
      <c r="F638" s="171"/>
      <c r="G638" s="171"/>
      <c r="H638" s="171"/>
      <c r="I638" s="171"/>
      <c r="J638" s="171"/>
      <c r="K638" s="171"/>
      <c r="L638" s="171"/>
    </row>
    <row r="639" spans="3:12" ht="15.75" customHeight="1" x14ac:dyDescent="0.2">
      <c r="C639" s="171"/>
      <c r="D639" s="171"/>
      <c r="E639" s="171"/>
      <c r="F639" s="171"/>
      <c r="G639" s="171"/>
      <c r="H639" s="171"/>
      <c r="I639" s="171"/>
      <c r="J639" s="171"/>
      <c r="K639" s="171"/>
      <c r="L639" s="171"/>
    </row>
    <row r="640" spans="3:12" ht="15.75" customHeight="1" x14ac:dyDescent="0.2">
      <c r="C640" s="171"/>
      <c r="D640" s="171"/>
      <c r="E640" s="171"/>
      <c r="F640" s="171"/>
      <c r="G640" s="171"/>
      <c r="H640" s="171"/>
      <c r="I640" s="171"/>
      <c r="J640" s="171"/>
      <c r="K640" s="171"/>
      <c r="L640" s="171"/>
    </row>
    <row r="641" spans="3:12" ht="15.75" customHeight="1" x14ac:dyDescent="0.2">
      <c r="C641" s="171"/>
      <c r="D641" s="171"/>
      <c r="E641" s="171"/>
      <c r="F641" s="171"/>
      <c r="G641" s="171"/>
      <c r="H641" s="171"/>
      <c r="I641" s="171"/>
      <c r="J641" s="171"/>
      <c r="K641" s="171"/>
      <c r="L641" s="171"/>
    </row>
    <row r="642" spans="3:12" ht="15.75" customHeight="1" x14ac:dyDescent="0.2">
      <c r="C642" s="171"/>
      <c r="D642" s="171"/>
      <c r="E642" s="171"/>
      <c r="F642" s="171"/>
      <c r="G642" s="171"/>
      <c r="H642" s="171"/>
      <c r="I642" s="171"/>
      <c r="J642" s="171"/>
      <c r="K642" s="171"/>
      <c r="L642" s="171"/>
    </row>
    <row r="643" spans="3:12" ht="15.75" customHeight="1" x14ac:dyDescent="0.2">
      <c r="C643" s="171"/>
      <c r="D643" s="171"/>
      <c r="E643" s="171"/>
      <c r="F643" s="171"/>
      <c r="G643" s="171"/>
      <c r="H643" s="171"/>
      <c r="I643" s="171"/>
      <c r="J643" s="171"/>
      <c r="K643" s="171"/>
      <c r="L643" s="171"/>
    </row>
    <row r="644" spans="3:12" ht="15.75" customHeight="1" x14ac:dyDescent="0.2">
      <c r="C644" s="171"/>
      <c r="D644" s="171"/>
      <c r="E644" s="171"/>
      <c r="F644" s="171"/>
      <c r="G644" s="171"/>
      <c r="H644" s="171"/>
      <c r="I644" s="171"/>
      <c r="J644" s="171"/>
      <c r="K644" s="171"/>
      <c r="L644" s="171"/>
    </row>
    <row r="645" spans="3:12" ht="15.75" customHeight="1" x14ac:dyDescent="0.2">
      <c r="C645" s="171"/>
      <c r="D645" s="171"/>
      <c r="E645" s="171"/>
      <c r="F645" s="171"/>
      <c r="G645" s="171"/>
      <c r="H645" s="171"/>
      <c r="I645" s="171"/>
      <c r="J645" s="171"/>
      <c r="K645" s="171"/>
      <c r="L645" s="171"/>
    </row>
    <row r="646" spans="3:12" ht="15.75" customHeight="1" x14ac:dyDescent="0.2">
      <c r="C646" s="171"/>
      <c r="D646" s="171"/>
      <c r="E646" s="171"/>
      <c r="F646" s="171"/>
      <c r="G646" s="171"/>
      <c r="H646" s="171"/>
      <c r="I646" s="171"/>
      <c r="J646" s="171"/>
      <c r="K646" s="171"/>
      <c r="L646" s="171"/>
    </row>
    <row r="647" spans="3:12" ht="15.75" customHeight="1" x14ac:dyDescent="0.2">
      <c r="C647" s="171"/>
      <c r="D647" s="171"/>
      <c r="E647" s="171"/>
      <c r="F647" s="171"/>
      <c r="G647" s="171"/>
      <c r="H647" s="171"/>
      <c r="I647" s="171"/>
      <c r="J647" s="171"/>
      <c r="K647" s="171"/>
      <c r="L647" s="171"/>
    </row>
    <row r="648" spans="3:12" ht="15.75" customHeight="1" x14ac:dyDescent="0.2">
      <c r="C648" s="171"/>
      <c r="D648" s="171"/>
      <c r="E648" s="171"/>
      <c r="F648" s="171"/>
      <c r="G648" s="171"/>
      <c r="H648" s="171"/>
      <c r="I648" s="171"/>
      <c r="J648" s="171"/>
      <c r="K648" s="171"/>
      <c r="L648" s="171"/>
    </row>
    <row r="649" spans="3:12" ht="15.75" customHeight="1" x14ac:dyDescent="0.2">
      <c r="C649" s="171"/>
      <c r="D649" s="171"/>
      <c r="E649" s="171"/>
      <c r="F649" s="171"/>
      <c r="G649" s="171"/>
      <c r="H649" s="171"/>
      <c r="I649" s="171"/>
      <c r="J649" s="171"/>
      <c r="K649" s="171"/>
      <c r="L649" s="171"/>
    </row>
    <row r="650" spans="3:12" ht="15.75" customHeight="1" x14ac:dyDescent="0.2">
      <c r="C650" s="171"/>
      <c r="D650" s="171"/>
      <c r="E650" s="171"/>
      <c r="F650" s="171"/>
      <c r="G650" s="171"/>
      <c r="H650" s="171"/>
      <c r="I650" s="171"/>
      <c r="J650" s="171"/>
      <c r="K650" s="171"/>
      <c r="L650" s="171"/>
    </row>
    <row r="651" spans="3:12" ht="15.75" customHeight="1" x14ac:dyDescent="0.2">
      <c r="C651" s="171"/>
      <c r="D651" s="171"/>
      <c r="E651" s="171"/>
      <c r="F651" s="171"/>
      <c r="G651" s="171"/>
      <c r="H651" s="171"/>
      <c r="I651" s="171"/>
      <c r="J651" s="171"/>
      <c r="K651" s="171"/>
      <c r="L651" s="171"/>
    </row>
    <row r="652" spans="3:12" ht="15.75" customHeight="1" x14ac:dyDescent="0.2">
      <c r="C652" s="171"/>
      <c r="D652" s="171"/>
      <c r="E652" s="171"/>
      <c r="F652" s="171"/>
      <c r="G652" s="171"/>
      <c r="H652" s="171"/>
      <c r="I652" s="171"/>
      <c r="J652" s="171"/>
      <c r="K652" s="171"/>
      <c r="L652" s="171"/>
    </row>
    <row r="653" spans="3:12" ht="15.75" customHeight="1" x14ac:dyDescent="0.2">
      <c r="C653" s="171"/>
      <c r="D653" s="171"/>
      <c r="E653" s="171"/>
      <c r="F653" s="171"/>
      <c r="G653" s="171"/>
      <c r="H653" s="171"/>
      <c r="I653" s="171"/>
      <c r="J653" s="171"/>
      <c r="K653" s="171"/>
      <c r="L653" s="171"/>
    </row>
    <row r="654" spans="3:12" ht="15.75" customHeight="1" x14ac:dyDescent="0.2">
      <c r="C654" s="171"/>
      <c r="D654" s="171"/>
      <c r="E654" s="171"/>
      <c r="F654" s="171"/>
      <c r="G654" s="171"/>
      <c r="H654" s="171"/>
      <c r="I654" s="171"/>
      <c r="J654" s="171"/>
      <c r="K654" s="171"/>
      <c r="L654" s="171"/>
    </row>
    <row r="655" spans="3:12" ht="15.75" customHeight="1" x14ac:dyDescent="0.2">
      <c r="C655" s="171"/>
      <c r="D655" s="171"/>
      <c r="E655" s="171"/>
      <c r="F655" s="171"/>
      <c r="G655" s="171"/>
      <c r="H655" s="171"/>
      <c r="I655" s="171"/>
      <c r="J655" s="171"/>
      <c r="K655" s="171"/>
      <c r="L655" s="171"/>
    </row>
    <row r="656" spans="3:12" ht="15.75" customHeight="1" x14ac:dyDescent="0.2">
      <c r="C656" s="171"/>
      <c r="D656" s="171"/>
      <c r="E656" s="171"/>
      <c r="F656" s="171"/>
      <c r="G656" s="171"/>
      <c r="H656" s="171"/>
      <c r="I656" s="171"/>
      <c r="J656" s="171"/>
      <c r="K656" s="171"/>
      <c r="L656" s="171"/>
    </row>
    <row r="657" spans="3:12" ht="15.75" customHeight="1" x14ac:dyDescent="0.2">
      <c r="C657" s="171"/>
      <c r="D657" s="171"/>
      <c r="E657" s="171"/>
      <c r="F657" s="171"/>
      <c r="G657" s="171"/>
      <c r="H657" s="171"/>
      <c r="I657" s="171"/>
      <c r="J657" s="171"/>
      <c r="K657" s="171"/>
      <c r="L657" s="171"/>
    </row>
    <row r="658" spans="3:12" ht="15.75" customHeight="1" x14ac:dyDescent="0.2">
      <c r="C658" s="171"/>
      <c r="D658" s="171"/>
      <c r="E658" s="171"/>
      <c r="F658" s="171"/>
      <c r="G658" s="171"/>
      <c r="H658" s="171"/>
      <c r="I658" s="171"/>
      <c r="J658" s="171"/>
      <c r="K658" s="171"/>
      <c r="L658" s="171"/>
    </row>
    <row r="659" spans="3:12" ht="15.75" customHeight="1" x14ac:dyDescent="0.2">
      <c r="C659" s="171"/>
      <c r="D659" s="171"/>
      <c r="E659" s="171"/>
      <c r="F659" s="171"/>
      <c r="G659" s="171"/>
      <c r="H659" s="171"/>
      <c r="I659" s="171"/>
      <c r="J659" s="171"/>
      <c r="K659" s="171"/>
      <c r="L659" s="171"/>
    </row>
    <row r="660" spans="3:12" ht="15.75" customHeight="1" x14ac:dyDescent="0.2">
      <c r="C660" s="171"/>
      <c r="D660" s="171"/>
      <c r="E660" s="171"/>
      <c r="F660" s="171"/>
      <c r="G660" s="171"/>
      <c r="H660" s="171"/>
      <c r="I660" s="171"/>
      <c r="J660" s="171"/>
      <c r="K660" s="171"/>
      <c r="L660" s="171"/>
    </row>
    <row r="661" spans="3:12" ht="15.75" customHeight="1" x14ac:dyDescent="0.2">
      <c r="C661" s="171"/>
      <c r="D661" s="171"/>
      <c r="E661" s="171"/>
      <c r="F661" s="171"/>
      <c r="G661" s="171"/>
      <c r="H661" s="171"/>
      <c r="I661" s="171"/>
      <c r="J661" s="171"/>
      <c r="K661" s="171"/>
      <c r="L661" s="171"/>
    </row>
    <row r="662" spans="3:12" ht="15.75" customHeight="1" x14ac:dyDescent="0.2">
      <c r="C662" s="171"/>
      <c r="D662" s="171"/>
      <c r="E662" s="171"/>
      <c r="F662" s="171"/>
      <c r="G662" s="171"/>
      <c r="H662" s="171"/>
      <c r="I662" s="171"/>
      <c r="J662" s="171"/>
      <c r="K662" s="171"/>
      <c r="L662" s="171"/>
    </row>
    <row r="663" spans="3:12" ht="15.75" customHeight="1" x14ac:dyDescent="0.2">
      <c r="C663" s="171"/>
      <c r="D663" s="171"/>
      <c r="E663" s="171"/>
      <c r="F663" s="171"/>
      <c r="G663" s="171"/>
      <c r="H663" s="171"/>
      <c r="I663" s="171"/>
      <c r="J663" s="171"/>
      <c r="K663" s="171"/>
      <c r="L663" s="171"/>
    </row>
    <row r="664" spans="3:12" ht="15.75" customHeight="1" x14ac:dyDescent="0.2">
      <c r="C664" s="171"/>
      <c r="D664" s="171"/>
      <c r="E664" s="171"/>
      <c r="F664" s="171"/>
      <c r="G664" s="171"/>
      <c r="H664" s="171"/>
      <c r="I664" s="171"/>
      <c r="J664" s="171"/>
      <c r="K664" s="171"/>
      <c r="L664" s="171"/>
    </row>
    <row r="665" spans="3:12" ht="15.75" customHeight="1" x14ac:dyDescent="0.2">
      <c r="C665" s="171"/>
      <c r="D665" s="171"/>
      <c r="E665" s="171"/>
      <c r="F665" s="171"/>
      <c r="G665" s="171"/>
      <c r="H665" s="171"/>
      <c r="I665" s="171"/>
      <c r="J665" s="171"/>
      <c r="K665" s="171"/>
      <c r="L665" s="171"/>
    </row>
    <row r="666" spans="3:12" ht="15.75" customHeight="1" x14ac:dyDescent="0.2">
      <c r="C666" s="171"/>
      <c r="D666" s="171"/>
      <c r="E666" s="171"/>
      <c r="F666" s="171"/>
      <c r="G666" s="171"/>
      <c r="H666" s="171"/>
      <c r="I666" s="171"/>
      <c r="J666" s="171"/>
      <c r="K666" s="171"/>
      <c r="L666" s="171"/>
    </row>
    <row r="667" spans="3:12" ht="15.75" customHeight="1" x14ac:dyDescent="0.2">
      <c r="C667" s="171"/>
      <c r="D667" s="171"/>
      <c r="E667" s="171"/>
      <c r="F667" s="171"/>
      <c r="G667" s="171"/>
      <c r="H667" s="171"/>
      <c r="I667" s="171"/>
      <c r="J667" s="171"/>
      <c r="K667" s="171"/>
      <c r="L667" s="171"/>
    </row>
    <row r="668" spans="3:12" ht="15.75" customHeight="1" x14ac:dyDescent="0.2">
      <c r="C668" s="171"/>
      <c r="D668" s="171"/>
      <c r="E668" s="171"/>
      <c r="F668" s="171"/>
      <c r="G668" s="171"/>
      <c r="H668" s="171"/>
      <c r="I668" s="171"/>
      <c r="J668" s="171"/>
      <c r="K668" s="171"/>
      <c r="L668" s="171"/>
    </row>
    <row r="669" spans="3:12" ht="15.75" customHeight="1" x14ac:dyDescent="0.2">
      <c r="C669" s="171"/>
      <c r="D669" s="171"/>
      <c r="E669" s="171"/>
      <c r="F669" s="171"/>
      <c r="G669" s="171"/>
      <c r="H669" s="171"/>
      <c r="I669" s="171"/>
      <c r="J669" s="171"/>
      <c r="K669" s="171"/>
      <c r="L669" s="171"/>
    </row>
    <row r="670" spans="3:12" ht="15.75" customHeight="1" x14ac:dyDescent="0.2">
      <c r="C670" s="171"/>
      <c r="D670" s="171"/>
      <c r="E670" s="171"/>
      <c r="F670" s="171"/>
      <c r="G670" s="171"/>
      <c r="H670" s="171"/>
      <c r="I670" s="171"/>
      <c r="J670" s="171"/>
      <c r="K670" s="171"/>
      <c r="L670" s="171"/>
    </row>
    <row r="671" spans="3:12" ht="15.75" customHeight="1" x14ac:dyDescent="0.2">
      <c r="C671" s="171"/>
      <c r="D671" s="171"/>
      <c r="E671" s="171"/>
      <c r="F671" s="171"/>
      <c r="G671" s="171"/>
      <c r="H671" s="171"/>
      <c r="I671" s="171"/>
      <c r="J671" s="171"/>
      <c r="K671" s="171"/>
      <c r="L671" s="171"/>
    </row>
    <row r="672" spans="3:12" ht="15.75" customHeight="1" x14ac:dyDescent="0.2">
      <c r="C672" s="171"/>
      <c r="D672" s="171"/>
      <c r="E672" s="171"/>
      <c r="F672" s="171"/>
      <c r="G672" s="171"/>
      <c r="H672" s="171"/>
      <c r="I672" s="171"/>
      <c r="J672" s="171"/>
      <c r="K672" s="171"/>
      <c r="L672" s="171"/>
    </row>
    <row r="673" spans="3:12" ht="15.75" customHeight="1" x14ac:dyDescent="0.2">
      <c r="C673" s="171"/>
      <c r="D673" s="171"/>
      <c r="E673" s="171"/>
      <c r="F673" s="171"/>
      <c r="G673" s="171"/>
      <c r="H673" s="171"/>
      <c r="I673" s="171"/>
      <c r="J673" s="171"/>
      <c r="K673" s="171"/>
      <c r="L673" s="171"/>
    </row>
    <row r="674" spans="3:12" ht="15.75" customHeight="1" x14ac:dyDescent="0.2">
      <c r="C674" s="171"/>
      <c r="D674" s="171"/>
      <c r="E674" s="171"/>
      <c r="F674" s="171"/>
      <c r="G674" s="171"/>
      <c r="H674" s="171"/>
      <c r="I674" s="171"/>
      <c r="J674" s="171"/>
      <c r="K674" s="171"/>
      <c r="L674" s="171"/>
    </row>
    <row r="675" spans="3:12" ht="15.75" customHeight="1" x14ac:dyDescent="0.2">
      <c r="C675" s="171"/>
      <c r="D675" s="171"/>
      <c r="E675" s="171"/>
      <c r="F675" s="171"/>
      <c r="G675" s="171"/>
      <c r="H675" s="171"/>
      <c r="I675" s="171"/>
      <c r="J675" s="171"/>
      <c r="K675" s="171"/>
      <c r="L675" s="171"/>
    </row>
    <row r="676" spans="3:12" ht="15.75" customHeight="1" x14ac:dyDescent="0.2">
      <c r="C676" s="171"/>
      <c r="D676" s="171"/>
      <c r="E676" s="171"/>
      <c r="F676" s="171"/>
      <c r="G676" s="171"/>
      <c r="H676" s="171"/>
      <c r="I676" s="171"/>
      <c r="J676" s="171"/>
      <c r="K676" s="171"/>
      <c r="L676" s="171"/>
    </row>
    <row r="677" spans="3:12" ht="15.75" customHeight="1" x14ac:dyDescent="0.2">
      <c r="C677" s="171"/>
      <c r="D677" s="171"/>
      <c r="E677" s="171"/>
      <c r="F677" s="171"/>
      <c r="G677" s="171"/>
      <c r="H677" s="171"/>
      <c r="I677" s="171"/>
      <c r="J677" s="171"/>
      <c r="K677" s="171"/>
      <c r="L677" s="171"/>
    </row>
    <row r="678" spans="3:12" ht="15.75" customHeight="1" x14ac:dyDescent="0.2">
      <c r="C678" s="171"/>
      <c r="D678" s="171"/>
      <c r="E678" s="171"/>
      <c r="F678" s="171"/>
      <c r="G678" s="171"/>
      <c r="H678" s="171"/>
      <c r="I678" s="171"/>
      <c r="J678" s="171"/>
      <c r="K678" s="171"/>
      <c r="L678" s="171"/>
    </row>
    <row r="679" spans="3:12" ht="15.75" customHeight="1" x14ac:dyDescent="0.2">
      <c r="C679" s="171"/>
      <c r="D679" s="171"/>
      <c r="E679" s="171"/>
      <c r="F679" s="171"/>
      <c r="G679" s="171"/>
      <c r="H679" s="171"/>
      <c r="I679" s="171"/>
      <c r="J679" s="171"/>
      <c r="K679" s="171"/>
      <c r="L679" s="171"/>
    </row>
    <row r="680" spans="3:12" ht="15.75" customHeight="1" x14ac:dyDescent="0.2">
      <c r="C680" s="171"/>
      <c r="D680" s="171"/>
      <c r="E680" s="171"/>
      <c r="F680" s="171"/>
      <c r="G680" s="171"/>
      <c r="H680" s="171"/>
      <c r="I680" s="171"/>
      <c r="J680" s="171"/>
      <c r="K680" s="171"/>
      <c r="L680" s="171"/>
    </row>
    <row r="681" spans="3:12" ht="15.75" customHeight="1" x14ac:dyDescent="0.2">
      <c r="C681" s="171"/>
      <c r="D681" s="171"/>
      <c r="E681" s="171"/>
      <c r="F681" s="171"/>
      <c r="G681" s="171"/>
      <c r="H681" s="171"/>
      <c r="I681" s="171"/>
      <c r="J681" s="171"/>
      <c r="K681" s="171"/>
      <c r="L681" s="171"/>
    </row>
    <row r="682" spans="3:12" ht="15.75" customHeight="1" x14ac:dyDescent="0.2">
      <c r="C682" s="171"/>
      <c r="D682" s="171"/>
      <c r="E682" s="171"/>
      <c r="F682" s="171"/>
      <c r="G682" s="171"/>
      <c r="H682" s="171"/>
      <c r="I682" s="171"/>
      <c r="J682" s="171"/>
      <c r="K682" s="171"/>
      <c r="L682" s="171"/>
    </row>
    <row r="683" spans="3:12" ht="15.75" customHeight="1" x14ac:dyDescent="0.2">
      <c r="C683" s="171"/>
      <c r="D683" s="171"/>
      <c r="E683" s="171"/>
      <c r="F683" s="171"/>
      <c r="G683" s="171"/>
      <c r="H683" s="171"/>
      <c r="I683" s="171"/>
      <c r="J683" s="171"/>
      <c r="K683" s="171"/>
      <c r="L683" s="171"/>
    </row>
    <row r="684" spans="3:12" ht="15.75" customHeight="1" x14ac:dyDescent="0.2">
      <c r="C684" s="171"/>
      <c r="D684" s="171"/>
      <c r="E684" s="171"/>
      <c r="F684" s="171"/>
      <c r="G684" s="171"/>
      <c r="H684" s="171"/>
      <c r="I684" s="171"/>
      <c r="J684" s="171"/>
      <c r="K684" s="171"/>
      <c r="L684" s="171"/>
    </row>
    <row r="685" spans="3:12" ht="15.75" customHeight="1" x14ac:dyDescent="0.2">
      <c r="C685" s="171"/>
      <c r="D685" s="171"/>
      <c r="E685" s="171"/>
      <c r="F685" s="171"/>
      <c r="G685" s="171"/>
      <c r="H685" s="171"/>
      <c r="I685" s="171"/>
      <c r="J685" s="171"/>
      <c r="K685" s="171"/>
      <c r="L685" s="171"/>
    </row>
    <row r="686" spans="3:12" ht="15.75" customHeight="1" x14ac:dyDescent="0.2">
      <c r="C686" s="171"/>
      <c r="D686" s="171"/>
      <c r="E686" s="171"/>
      <c r="F686" s="171"/>
      <c r="G686" s="171"/>
      <c r="H686" s="171"/>
      <c r="I686" s="171"/>
      <c r="J686" s="171"/>
      <c r="K686" s="171"/>
      <c r="L686" s="171"/>
    </row>
    <row r="687" spans="3:12" ht="15.75" customHeight="1" x14ac:dyDescent="0.2">
      <c r="C687" s="171"/>
      <c r="D687" s="171"/>
      <c r="E687" s="171"/>
      <c r="F687" s="171"/>
      <c r="G687" s="171"/>
      <c r="H687" s="171"/>
      <c r="I687" s="171"/>
      <c r="J687" s="171"/>
      <c r="K687" s="171"/>
      <c r="L687" s="171"/>
    </row>
    <row r="688" spans="3:12" ht="15.75" customHeight="1" x14ac:dyDescent="0.2">
      <c r="C688" s="171"/>
      <c r="D688" s="171"/>
      <c r="E688" s="171"/>
      <c r="F688" s="171"/>
      <c r="G688" s="171"/>
      <c r="H688" s="171"/>
      <c r="I688" s="171"/>
      <c r="J688" s="171"/>
      <c r="K688" s="171"/>
      <c r="L688" s="171"/>
    </row>
    <row r="689" spans="3:12" ht="15.75" customHeight="1" x14ac:dyDescent="0.2">
      <c r="C689" s="171"/>
      <c r="D689" s="171"/>
      <c r="E689" s="171"/>
      <c r="F689" s="171"/>
      <c r="G689" s="171"/>
      <c r="H689" s="171"/>
      <c r="I689" s="171"/>
      <c r="J689" s="171"/>
      <c r="K689" s="171"/>
      <c r="L689" s="171"/>
    </row>
    <row r="690" spans="3:12" ht="15.75" customHeight="1" x14ac:dyDescent="0.2">
      <c r="C690" s="171"/>
      <c r="D690" s="171"/>
      <c r="E690" s="171"/>
      <c r="F690" s="171"/>
      <c r="G690" s="171"/>
      <c r="H690" s="171"/>
      <c r="I690" s="171"/>
      <c r="J690" s="171"/>
      <c r="K690" s="171"/>
      <c r="L690" s="171"/>
    </row>
    <row r="691" spans="3:12" ht="15.75" customHeight="1" x14ac:dyDescent="0.2">
      <c r="C691" s="171"/>
      <c r="D691" s="171"/>
      <c r="E691" s="171"/>
      <c r="F691" s="171"/>
      <c r="G691" s="171"/>
      <c r="H691" s="171"/>
      <c r="I691" s="171"/>
      <c r="J691" s="171"/>
      <c r="K691" s="171"/>
      <c r="L691" s="171"/>
    </row>
    <row r="692" spans="3:12" ht="15.75" customHeight="1" x14ac:dyDescent="0.2">
      <c r="C692" s="171"/>
      <c r="D692" s="171"/>
      <c r="E692" s="171"/>
      <c r="F692" s="171"/>
      <c r="G692" s="171"/>
      <c r="H692" s="171"/>
      <c r="I692" s="171"/>
      <c r="J692" s="171"/>
      <c r="K692" s="171"/>
      <c r="L692" s="171"/>
    </row>
    <row r="693" spans="3:12" ht="15.75" customHeight="1" x14ac:dyDescent="0.2">
      <c r="C693" s="171"/>
      <c r="D693" s="171"/>
      <c r="E693" s="171"/>
      <c r="F693" s="171"/>
      <c r="G693" s="171"/>
      <c r="H693" s="171"/>
      <c r="I693" s="171"/>
      <c r="J693" s="171"/>
      <c r="K693" s="171"/>
      <c r="L693" s="171"/>
    </row>
    <row r="694" spans="3:12" ht="15.75" customHeight="1" x14ac:dyDescent="0.2">
      <c r="C694" s="171"/>
      <c r="D694" s="171"/>
      <c r="E694" s="171"/>
      <c r="F694" s="171"/>
      <c r="G694" s="171"/>
      <c r="H694" s="171"/>
      <c r="I694" s="171"/>
      <c r="J694" s="171"/>
      <c r="K694" s="171"/>
      <c r="L694" s="171"/>
    </row>
    <row r="695" spans="3:12" ht="15.75" customHeight="1" x14ac:dyDescent="0.2">
      <c r="C695" s="171"/>
      <c r="D695" s="171"/>
      <c r="E695" s="171"/>
      <c r="F695" s="171"/>
      <c r="G695" s="171"/>
      <c r="H695" s="171"/>
      <c r="I695" s="171"/>
      <c r="J695" s="171"/>
      <c r="K695" s="171"/>
      <c r="L695" s="171"/>
    </row>
    <row r="696" spans="3:12" ht="15.75" customHeight="1" x14ac:dyDescent="0.2">
      <c r="C696" s="171"/>
      <c r="D696" s="171"/>
      <c r="E696" s="171"/>
      <c r="F696" s="171"/>
      <c r="G696" s="171"/>
      <c r="H696" s="171"/>
      <c r="I696" s="171"/>
      <c r="J696" s="171"/>
      <c r="K696" s="171"/>
      <c r="L696" s="171"/>
    </row>
    <row r="697" spans="3:12" ht="15.75" customHeight="1" x14ac:dyDescent="0.2">
      <c r="C697" s="171"/>
      <c r="D697" s="171"/>
      <c r="E697" s="171"/>
      <c r="F697" s="171"/>
      <c r="G697" s="171"/>
      <c r="H697" s="171"/>
      <c r="I697" s="171"/>
      <c r="J697" s="171"/>
      <c r="K697" s="171"/>
      <c r="L697" s="171"/>
    </row>
    <row r="698" spans="3:12" ht="15.75" customHeight="1" x14ac:dyDescent="0.2">
      <c r="C698" s="171"/>
      <c r="D698" s="171"/>
      <c r="E698" s="171"/>
      <c r="F698" s="171"/>
      <c r="G698" s="171"/>
      <c r="H698" s="171"/>
      <c r="I698" s="171"/>
      <c r="J698" s="171"/>
      <c r="K698" s="171"/>
      <c r="L698" s="171"/>
    </row>
    <row r="699" spans="3:12" ht="15.75" customHeight="1" x14ac:dyDescent="0.2">
      <c r="C699" s="171"/>
      <c r="D699" s="171"/>
      <c r="E699" s="171"/>
      <c r="F699" s="171"/>
      <c r="G699" s="171"/>
      <c r="H699" s="171"/>
      <c r="I699" s="171"/>
      <c r="J699" s="171"/>
      <c r="K699" s="171"/>
      <c r="L699" s="171"/>
    </row>
    <row r="700" spans="3:12" ht="15.75" customHeight="1" x14ac:dyDescent="0.2">
      <c r="C700" s="171"/>
      <c r="D700" s="171"/>
      <c r="E700" s="171"/>
      <c r="F700" s="171"/>
      <c r="G700" s="171"/>
      <c r="H700" s="171"/>
      <c r="I700" s="171"/>
      <c r="J700" s="171"/>
      <c r="K700" s="171"/>
      <c r="L700" s="171"/>
    </row>
    <row r="701" spans="3:12" ht="15.75" customHeight="1" x14ac:dyDescent="0.2">
      <c r="C701" s="171"/>
      <c r="D701" s="171"/>
      <c r="E701" s="171"/>
      <c r="F701" s="171"/>
      <c r="G701" s="171"/>
      <c r="H701" s="171"/>
      <c r="I701" s="171"/>
      <c r="J701" s="171"/>
      <c r="K701" s="171"/>
      <c r="L701" s="171"/>
    </row>
    <row r="702" spans="3:12" ht="15.75" customHeight="1" x14ac:dyDescent="0.2">
      <c r="C702" s="171"/>
      <c r="D702" s="171"/>
      <c r="E702" s="171"/>
      <c r="F702" s="171"/>
      <c r="G702" s="171"/>
      <c r="H702" s="171"/>
      <c r="I702" s="171"/>
      <c r="J702" s="171"/>
      <c r="K702" s="171"/>
      <c r="L702" s="171"/>
    </row>
    <row r="703" spans="3:12" ht="15.75" customHeight="1" x14ac:dyDescent="0.2">
      <c r="C703" s="171"/>
      <c r="D703" s="171"/>
      <c r="E703" s="171"/>
      <c r="F703" s="171"/>
      <c r="G703" s="171"/>
      <c r="H703" s="171"/>
      <c r="I703" s="171"/>
      <c r="J703" s="171"/>
      <c r="K703" s="171"/>
      <c r="L703" s="171"/>
    </row>
    <row r="704" spans="3:12" ht="15.75" customHeight="1" x14ac:dyDescent="0.2">
      <c r="C704" s="171"/>
      <c r="D704" s="171"/>
      <c r="E704" s="171"/>
      <c r="F704" s="171"/>
      <c r="G704" s="171"/>
      <c r="H704" s="171"/>
      <c r="I704" s="171"/>
      <c r="J704" s="171"/>
      <c r="K704" s="171"/>
      <c r="L704" s="171"/>
    </row>
    <row r="705" spans="3:12" ht="15.75" customHeight="1" x14ac:dyDescent="0.2">
      <c r="C705" s="171"/>
      <c r="D705" s="171"/>
      <c r="E705" s="171"/>
      <c r="F705" s="171"/>
      <c r="G705" s="171"/>
      <c r="H705" s="171"/>
      <c r="I705" s="171"/>
      <c r="J705" s="171"/>
      <c r="K705" s="171"/>
      <c r="L705" s="171"/>
    </row>
    <row r="706" spans="3:12" ht="15.75" customHeight="1" x14ac:dyDescent="0.2">
      <c r="C706" s="171"/>
      <c r="D706" s="171"/>
      <c r="E706" s="171"/>
      <c r="F706" s="171"/>
      <c r="G706" s="171"/>
      <c r="H706" s="171"/>
      <c r="I706" s="171"/>
      <c r="J706" s="171"/>
      <c r="K706" s="171"/>
      <c r="L706" s="171"/>
    </row>
    <row r="707" spans="3:12" ht="15.75" customHeight="1" x14ac:dyDescent="0.2">
      <c r="C707" s="171"/>
      <c r="D707" s="171"/>
      <c r="E707" s="171"/>
      <c r="F707" s="171"/>
      <c r="G707" s="171"/>
      <c r="H707" s="171"/>
      <c r="I707" s="171"/>
      <c r="J707" s="171"/>
      <c r="K707" s="171"/>
      <c r="L707" s="171"/>
    </row>
    <row r="708" spans="3:12" ht="15.75" customHeight="1" x14ac:dyDescent="0.2">
      <c r="C708" s="171"/>
      <c r="D708" s="171"/>
      <c r="E708" s="171"/>
      <c r="F708" s="171"/>
      <c r="G708" s="171"/>
      <c r="H708" s="171"/>
      <c r="I708" s="171"/>
      <c r="J708" s="171"/>
      <c r="K708" s="171"/>
      <c r="L708" s="171"/>
    </row>
    <row r="709" spans="3:12" ht="15.75" customHeight="1" x14ac:dyDescent="0.2">
      <c r="C709" s="171"/>
      <c r="D709" s="171"/>
      <c r="E709" s="171"/>
      <c r="F709" s="171"/>
      <c r="G709" s="171"/>
      <c r="H709" s="171"/>
      <c r="I709" s="171"/>
      <c r="J709" s="171"/>
      <c r="K709" s="171"/>
      <c r="L709" s="171"/>
    </row>
    <row r="710" spans="3:12" ht="15.75" customHeight="1" x14ac:dyDescent="0.2">
      <c r="C710" s="171"/>
      <c r="D710" s="171"/>
      <c r="E710" s="171"/>
      <c r="F710" s="171"/>
      <c r="G710" s="171"/>
      <c r="H710" s="171"/>
      <c r="I710" s="171"/>
      <c r="J710" s="171"/>
      <c r="K710" s="171"/>
      <c r="L710" s="171"/>
    </row>
    <row r="711" spans="3:12" ht="15.75" customHeight="1" x14ac:dyDescent="0.2">
      <c r="C711" s="171"/>
      <c r="D711" s="171"/>
      <c r="E711" s="171"/>
      <c r="F711" s="171"/>
      <c r="G711" s="171"/>
      <c r="H711" s="171"/>
      <c r="I711" s="171"/>
      <c r="J711" s="171"/>
      <c r="K711" s="171"/>
      <c r="L711" s="171"/>
    </row>
    <row r="712" spans="3:12" ht="15.75" customHeight="1" x14ac:dyDescent="0.2">
      <c r="C712" s="171"/>
      <c r="D712" s="171"/>
      <c r="E712" s="171"/>
      <c r="F712" s="171"/>
      <c r="G712" s="171"/>
      <c r="H712" s="171"/>
      <c r="I712" s="171"/>
      <c r="J712" s="171"/>
      <c r="K712" s="171"/>
      <c r="L712" s="171"/>
    </row>
    <row r="713" spans="3:12" ht="15.75" customHeight="1" x14ac:dyDescent="0.2">
      <c r="C713" s="171"/>
      <c r="D713" s="171"/>
      <c r="E713" s="171"/>
      <c r="F713" s="171"/>
      <c r="G713" s="171"/>
      <c r="H713" s="171"/>
      <c r="I713" s="171"/>
      <c r="J713" s="171"/>
      <c r="K713" s="171"/>
      <c r="L713" s="171"/>
    </row>
    <row r="714" spans="3:12" ht="15.75" customHeight="1" x14ac:dyDescent="0.2">
      <c r="C714" s="171"/>
      <c r="D714" s="171"/>
      <c r="E714" s="171"/>
      <c r="F714" s="171"/>
      <c r="G714" s="171"/>
      <c r="H714" s="171"/>
      <c r="I714" s="171"/>
      <c r="J714" s="171"/>
      <c r="K714" s="171"/>
      <c r="L714" s="171"/>
    </row>
    <row r="715" spans="3:12" ht="15.75" customHeight="1" x14ac:dyDescent="0.2">
      <c r="C715" s="171"/>
      <c r="D715" s="171"/>
      <c r="E715" s="171"/>
      <c r="F715" s="171"/>
      <c r="G715" s="171"/>
      <c r="H715" s="171"/>
      <c r="I715" s="171"/>
      <c r="J715" s="171"/>
      <c r="K715" s="171"/>
      <c r="L715" s="171"/>
    </row>
    <row r="716" spans="3:12" ht="15.75" customHeight="1" x14ac:dyDescent="0.2">
      <c r="C716" s="171"/>
      <c r="D716" s="171"/>
      <c r="E716" s="171"/>
      <c r="F716" s="171"/>
      <c r="G716" s="171"/>
      <c r="H716" s="171"/>
      <c r="I716" s="171"/>
      <c r="J716" s="171"/>
      <c r="K716" s="171"/>
      <c r="L716" s="171"/>
    </row>
    <row r="717" spans="3:12" ht="15.75" customHeight="1" x14ac:dyDescent="0.2">
      <c r="C717" s="171"/>
      <c r="D717" s="171"/>
      <c r="E717" s="171"/>
      <c r="F717" s="171"/>
      <c r="G717" s="171"/>
      <c r="H717" s="171"/>
      <c r="I717" s="171"/>
      <c r="J717" s="171"/>
      <c r="K717" s="171"/>
      <c r="L717" s="171"/>
    </row>
    <row r="718" spans="3:12" ht="15.75" customHeight="1" x14ac:dyDescent="0.2">
      <c r="C718" s="171"/>
      <c r="D718" s="171"/>
      <c r="E718" s="171"/>
      <c r="F718" s="171"/>
      <c r="G718" s="171"/>
      <c r="H718" s="171"/>
      <c r="I718" s="171"/>
      <c r="J718" s="171"/>
      <c r="K718" s="171"/>
      <c r="L718" s="171"/>
    </row>
    <row r="719" spans="3:12" ht="15.75" customHeight="1" x14ac:dyDescent="0.2">
      <c r="C719" s="171"/>
      <c r="D719" s="171"/>
      <c r="E719" s="171"/>
      <c r="F719" s="171"/>
      <c r="G719" s="171"/>
      <c r="H719" s="171"/>
      <c r="I719" s="171"/>
      <c r="J719" s="171"/>
      <c r="K719" s="171"/>
      <c r="L719" s="171"/>
    </row>
    <row r="720" spans="3:12" ht="15.75" customHeight="1" x14ac:dyDescent="0.2">
      <c r="C720" s="171"/>
      <c r="D720" s="171"/>
      <c r="E720" s="171"/>
      <c r="F720" s="171"/>
      <c r="G720" s="171"/>
      <c r="H720" s="171"/>
      <c r="I720" s="171"/>
      <c r="J720" s="171"/>
      <c r="K720" s="171"/>
      <c r="L720" s="171"/>
    </row>
    <row r="721" spans="3:12" ht="15.75" customHeight="1" x14ac:dyDescent="0.2">
      <c r="C721" s="171"/>
      <c r="D721" s="171"/>
      <c r="E721" s="171"/>
      <c r="F721" s="171"/>
      <c r="G721" s="171"/>
      <c r="H721" s="171"/>
      <c r="I721" s="171"/>
      <c r="J721" s="171"/>
      <c r="K721" s="171"/>
      <c r="L721" s="171"/>
    </row>
    <row r="722" spans="3:12" ht="15.75" customHeight="1" x14ac:dyDescent="0.2">
      <c r="C722" s="171"/>
      <c r="D722" s="171"/>
      <c r="E722" s="171"/>
      <c r="F722" s="171"/>
      <c r="G722" s="171"/>
      <c r="H722" s="171"/>
      <c r="I722" s="171"/>
      <c r="J722" s="171"/>
      <c r="K722" s="171"/>
      <c r="L722" s="171"/>
    </row>
    <row r="723" spans="3:12" ht="15.75" customHeight="1" x14ac:dyDescent="0.2">
      <c r="C723" s="171"/>
      <c r="D723" s="171"/>
      <c r="E723" s="171"/>
      <c r="F723" s="171"/>
      <c r="G723" s="171"/>
      <c r="H723" s="171"/>
      <c r="I723" s="171"/>
      <c r="J723" s="171"/>
      <c r="K723" s="171"/>
      <c r="L723" s="171"/>
    </row>
    <row r="724" spans="3:12" ht="15.75" customHeight="1" x14ac:dyDescent="0.2">
      <c r="C724" s="171"/>
      <c r="D724" s="171"/>
      <c r="E724" s="171"/>
      <c r="F724" s="171"/>
      <c r="G724" s="171"/>
      <c r="H724" s="171"/>
      <c r="I724" s="171"/>
      <c r="J724" s="171"/>
      <c r="K724" s="171"/>
      <c r="L724" s="171"/>
    </row>
    <row r="725" spans="3:12" ht="15.75" customHeight="1" x14ac:dyDescent="0.2">
      <c r="C725" s="171"/>
      <c r="D725" s="171"/>
      <c r="E725" s="171"/>
      <c r="F725" s="171"/>
      <c r="G725" s="171"/>
      <c r="H725" s="171"/>
      <c r="I725" s="171"/>
      <c r="J725" s="171"/>
      <c r="K725" s="171"/>
      <c r="L725" s="171"/>
    </row>
    <row r="726" spans="3:12" ht="15.75" customHeight="1" x14ac:dyDescent="0.2">
      <c r="C726" s="171"/>
      <c r="D726" s="171"/>
      <c r="E726" s="171"/>
      <c r="F726" s="171"/>
      <c r="G726" s="171"/>
      <c r="H726" s="171"/>
      <c r="I726" s="171"/>
      <c r="J726" s="171"/>
      <c r="K726" s="171"/>
      <c r="L726" s="171"/>
    </row>
    <row r="727" spans="3:12" ht="15.75" customHeight="1" x14ac:dyDescent="0.2">
      <c r="C727" s="171"/>
      <c r="D727" s="171"/>
      <c r="E727" s="171"/>
      <c r="F727" s="171"/>
      <c r="G727" s="171"/>
      <c r="H727" s="171"/>
      <c r="I727" s="171"/>
      <c r="J727" s="171"/>
      <c r="K727" s="171"/>
      <c r="L727" s="171"/>
    </row>
    <row r="728" spans="3:12" ht="15.75" customHeight="1" x14ac:dyDescent="0.2">
      <c r="C728" s="171"/>
      <c r="D728" s="171"/>
      <c r="E728" s="171"/>
      <c r="F728" s="171"/>
      <c r="G728" s="171"/>
      <c r="H728" s="171"/>
      <c r="I728" s="171"/>
      <c r="J728" s="171"/>
      <c r="K728" s="171"/>
      <c r="L728" s="171"/>
    </row>
    <row r="729" spans="3:12" ht="15.75" customHeight="1" x14ac:dyDescent="0.2">
      <c r="C729" s="171"/>
      <c r="D729" s="171"/>
      <c r="E729" s="171"/>
      <c r="F729" s="171"/>
      <c r="G729" s="171"/>
      <c r="H729" s="171"/>
      <c r="I729" s="171"/>
      <c r="J729" s="171"/>
      <c r="K729" s="171"/>
      <c r="L729" s="171"/>
    </row>
    <row r="730" spans="3:12" ht="15.75" customHeight="1" x14ac:dyDescent="0.2">
      <c r="C730" s="171"/>
      <c r="D730" s="171"/>
      <c r="E730" s="171"/>
      <c r="F730" s="171"/>
      <c r="G730" s="171"/>
      <c r="H730" s="171"/>
      <c r="I730" s="171"/>
      <c r="J730" s="171"/>
      <c r="K730" s="171"/>
      <c r="L730" s="171"/>
    </row>
    <row r="731" spans="3:12" ht="15.75" customHeight="1" x14ac:dyDescent="0.2">
      <c r="C731" s="171"/>
      <c r="D731" s="171"/>
      <c r="E731" s="171"/>
      <c r="F731" s="171"/>
      <c r="G731" s="171"/>
      <c r="H731" s="171"/>
      <c r="I731" s="171"/>
      <c r="J731" s="171"/>
      <c r="K731" s="171"/>
      <c r="L731" s="171"/>
    </row>
    <row r="732" spans="3:12" ht="15.75" customHeight="1" x14ac:dyDescent="0.2">
      <c r="C732" s="171"/>
      <c r="D732" s="171"/>
      <c r="E732" s="171"/>
      <c r="F732" s="171"/>
      <c r="G732" s="171"/>
      <c r="H732" s="171"/>
      <c r="I732" s="171"/>
      <c r="J732" s="171"/>
      <c r="K732" s="171"/>
      <c r="L732" s="171"/>
    </row>
    <row r="733" spans="3:12" ht="15.75" customHeight="1" x14ac:dyDescent="0.2">
      <c r="C733" s="171"/>
      <c r="D733" s="171"/>
      <c r="E733" s="171"/>
      <c r="F733" s="171"/>
      <c r="G733" s="171"/>
      <c r="H733" s="171"/>
      <c r="I733" s="171"/>
      <c r="J733" s="171"/>
      <c r="K733" s="171"/>
      <c r="L733" s="171"/>
    </row>
    <row r="734" spans="3:12" ht="15.75" customHeight="1" x14ac:dyDescent="0.2">
      <c r="C734" s="171"/>
      <c r="D734" s="171"/>
      <c r="E734" s="171"/>
      <c r="F734" s="171"/>
      <c r="G734" s="171"/>
      <c r="H734" s="171"/>
      <c r="I734" s="171"/>
      <c r="J734" s="171"/>
      <c r="K734" s="171"/>
      <c r="L734" s="171"/>
    </row>
    <row r="735" spans="3:12" ht="15.75" customHeight="1" x14ac:dyDescent="0.2">
      <c r="C735" s="171"/>
      <c r="D735" s="171"/>
      <c r="E735" s="171"/>
      <c r="F735" s="171"/>
      <c r="G735" s="171"/>
      <c r="H735" s="171"/>
      <c r="I735" s="171"/>
      <c r="J735" s="171"/>
      <c r="K735" s="171"/>
      <c r="L735" s="171"/>
    </row>
    <row r="736" spans="3:12" ht="15.75" customHeight="1" x14ac:dyDescent="0.2">
      <c r="C736" s="171"/>
      <c r="D736" s="171"/>
      <c r="E736" s="171"/>
      <c r="F736" s="171"/>
      <c r="G736" s="171"/>
      <c r="H736" s="171"/>
      <c r="I736" s="171"/>
      <c r="J736" s="171"/>
      <c r="K736" s="171"/>
      <c r="L736" s="171"/>
    </row>
    <row r="737" spans="3:12" ht="15.75" customHeight="1" x14ac:dyDescent="0.2">
      <c r="C737" s="171"/>
      <c r="D737" s="171"/>
      <c r="E737" s="171"/>
      <c r="F737" s="171"/>
      <c r="G737" s="171"/>
      <c r="H737" s="171"/>
      <c r="I737" s="171"/>
      <c r="J737" s="171"/>
      <c r="K737" s="171"/>
      <c r="L737" s="171"/>
    </row>
    <row r="738" spans="3:12" ht="15.75" customHeight="1" x14ac:dyDescent="0.2">
      <c r="C738" s="171"/>
      <c r="D738" s="171"/>
      <c r="E738" s="171"/>
      <c r="F738" s="171"/>
      <c r="G738" s="171"/>
      <c r="H738" s="171"/>
      <c r="I738" s="171"/>
      <c r="J738" s="171"/>
      <c r="K738" s="171"/>
      <c r="L738" s="171"/>
    </row>
    <row r="739" spans="3:12" ht="15.75" customHeight="1" x14ac:dyDescent="0.2">
      <c r="C739" s="171"/>
      <c r="D739" s="171"/>
      <c r="E739" s="171"/>
      <c r="F739" s="171"/>
      <c r="G739" s="171"/>
      <c r="H739" s="171"/>
      <c r="I739" s="171"/>
      <c r="J739" s="171"/>
      <c r="K739" s="171"/>
      <c r="L739" s="171"/>
    </row>
    <row r="740" spans="3:12" ht="15.75" customHeight="1" x14ac:dyDescent="0.2">
      <c r="C740" s="171"/>
      <c r="D740" s="171"/>
      <c r="E740" s="171"/>
      <c r="F740" s="171"/>
      <c r="G740" s="171"/>
      <c r="H740" s="171"/>
      <c r="I740" s="171"/>
      <c r="J740" s="171"/>
      <c r="K740" s="171"/>
      <c r="L740" s="171"/>
    </row>
    <row r="741" spans="3:12" ht="15.75" customHeight="1" x14ac:dyDescent="0.2">
      <c r="C741" s="171"/>
      <c r="D741" s="171"/>
      <c r="E741" s="171"/>
      <c r="F741" s="171"/>
      <c r="G741" s="171"/>
      <c r="H741" s="171"/>
      <c r="I741" s="171"/>
      <c r="J741" s="171"/>
      <c r="K741" s="171"/>
      <c r="L741" s="171"/>
    </row>
    <row r="742" spans="3:12" ht="15.75" customHeight="1" x14ac:dyDescent="0.2">
      <c r="C742" s="171"/>
      <c r="D742" s="171"/>
      <c r="E742" s="171"/>
      <c r="F742" s="171"/>
      <c r="G742" s="171"/>
      <c r="H742" s="171"/>
      <c r="I742" s="171"/>
      <c r="J742" s="171"/>
      <c r="K742" s="171"/>
      <c r="L742" s="171"/>
    </row>
    <row r="743" spans="3:12" ht="15.75" customHeight="1" x14ac:dyDescent="0.2">
      <c r="C743" s="171"/>
      <c r="D743" s="171"/>
      <c r="E743" s="171"/>
      <c r="F743" s="171"/>
      <c r="G743" s="171"/>
      <c r="H743" s="171"/>
      <c r="I743" s="171"/>
      <c r="J743" s="171"/>
      <c r="K743" s="171"/>
      <c r="L743" s="171"/>
    </row>
    <row r="744" spans="3:12" ht="15.75" customHeight="1" x14ac:dyDescent="0.2">
      <c r="C744" s="171"/>
      <c r="D744" s="171"/>
      <c r="E744" s="171"/>
      <c r="F744" s="171"/>
      <c r="G744" s="171"/>
      <c r="H744" s="171"/>
      <c r="I744" s="171"/>
      <c r="J744" s="171"/>
      <c r="K744" s="171"/>
      <c r="L744" s="171"/>
    </row>
    <row r="745" spans="3:12" ht="15.75" customHeight="1" x14ac:dyDescent="0.2">
      <c r="C745" s="171"/>
      <c r="D745" s="171"/>
      <c r="E745" s="171"/>
      <c r="F745" s="171"/>
      <c r="G745" s="171"/>
      <c r="H745" s="171"/>
      <c r="I745" s="171"/>
      <c r="J745" s="171"/>
      <c r="K745" s="171"/>
      <c r="L745" s="171"/>
    </row>
    <row r="746" spans="3:12" ht="15.75" customHeight="1" x14ac:dyDescent="0.2">
      <c r="C746" s="171"/>
      <c r="D746" s="171"/>
      <c r="E746" s="171"/>
      <c r="F746" s="171"/>
      <c r="G746" s="171"/>
      <c r="H746" s="171"/>
      <c r="I746" s="171"/>
      <c r="J746" s="171"/>
      <c r="K746" s="171"/>
      <c r="L746" s="171"/>
    </row>
    <row r="747" spans="3:12" ht="15.75" customHeight="1" x14ac:dyDescent="0.2">
      <c r="C747" s="171"/>
      <c r="D747" s="171"/>
      <c r="E747" s="171"/>
      <c r="F747" s="171"/>
      <c r="G747" s="171"/>
      <c r="H747" s="171"/>
      <c r="I747" s="171"/>
      <c r="J747" s="171"/>
      <c r="K747" s="171"/>
      <c r="L747" s="171"/>
    </row>
    <row r="748" spans="3:12" ht="15.75" customHeight="1" x14ac:dyDescent="0.2">
      <c r="C748" s="171"/>
      <c r="D748" s="171"/>
      <c r="E748" s="171"/>
      <c r="F748" s="171"/>
      <c r="G748" s="171"/>
      <c r="H748" s="171"/>
      <c r="I748" s="171"/>
      <c r="J748" s="171"/>
      <c r="K748" s="171"/>
      <c r="L748" s="171"/>
    </row>
    <row r="749" spans="3:12" ht="15.75" customHeight="1" x14ac:dyDescent="0.2">
      <c r="C749" s="171"/>
      <c r="D749" s="171"/>
      <c r="E749" s="171"/>
      <c r="F749" s="171"/>
      <c r="G749" s="171"/>
      <c r="H749" s="171"/>
      <c r="I749" s="171"/>
      <c r="J749" s="171"/>
      <c r="K749" s="171"/>
      <c r="L749" s="171"/>
    </row>
    <row r="750" spans="3:12" ht="15.75" customHeight="1" x14ac:dyDescent="0.2">
      <c r="C750" s="171"/>
      <c r="D750" s="171"/>
      <c r="E750" s="171"/>
      <c r="F750" s="171"/>
      <c r="G750" s="171"/>
      <c r="H750" s="171"/>
      <c r="I750" s="171"/>
      <c r="J750" s="171"/>
      <c r="K750" s="171"/>
      <c r="L750" s="171"/>
    </row>
    <row r="751" spans="3:12" ht="15.75" customHeight="1" x14ac:dyDescent="0.2">
      <c r="C751" s="171"/>
      <c r="D751" s="171"/>
      <c r="E751" s="171"/>
      <c r="F751" s="171"/>
      <c r="G751" s="171"/>
      <c r="H751" s="171"/>
      <c r="I751" s="171"/>
      <c r="J751" s="171"/>
      <c r="K751" s="171"/>
      <c r="L751" s="171"/>
    </row>
    <row r="752" spans="3:12" ht="15.75" customHeight="1" x14ac:dyDescent="0.2">
      <c r="C752" s="171"/>
      <c r="D752" s="171"/>
      <c r="E752" s="171"/>
      <c r="F752" s="171"/>
      <c r="G752" s="171"/>
      <c r="H752" s="171"/>
      <c r="I752" s="171"/>
      <c r="J752" s="171"/>
      <c r="K752" s="171"/>
      <c r="L752" s="171"/>
    </row>
    <row r="753" spans="3:12" ht="15.75" customHeight="1" x14ac:dyDescent="0.2">
      <c r="C753" s="171"/>
      <c r="D753" s="171"/>
      <c r="E753" s="171"/>
      <c r="F753" s="171"/>
      <c r="G753" s="171"/>
      <c r="H753" s="171"/>
      <c r="I753" s="171"/>
      <c r="J753" s="171"/>
      <c r="K753" s="171"/>
      <c r="L753" s="171"/>
    </row>
    <row r="754" spans="3:12" ht="15.75" customHeight="1" x14ac:dyDescent="0.2">
      <c r="C754" s="171"/>
      <c r="D754" s="171"/>
      <c r="E754" s="171"/>
      <c r="F754" s="171"/>
      <c r="G754" s="171"/>
      <c r="H754" s="171"/>
      <c r="I754" s="171"/>
      <c r="J754" s="171"/>
      <c r="K754" s="171"/>
      <c r="L754" s="171"/>
    </row>
    <row r="755" spans="3:12" ht="15.75" customHeight="1" x14ac:dyDescent="0.2">
      <c r="C755" s="171"/>
      <c r="D755" s="171"/>
      <c r="E755" s="171"/>
      <c r="F755" s="171"/>
      <c r="G755" s="171"/>
      <c r="H755" s="171"/>
      <c r="I755" s="171"/>
      <c r="J755" s="171"/>
      <c r="K755" s="171"/>
      <c r="L755" s="171"/>
    </row>
    <row r="756" spans="3:12" ht="15.75" customHeight="1" x14ac:dyDescent="0.2">
      <c r="C756" s="171"/>
      <c r="D756" s="171"/>
      <c r="E756" s="171"/>
      <c r="F756" s="171"/>
      <c r="G756" s="171"/>
      <c r="H756" s="171"/>
      <c r="I756" s="171"/>
      <c r="J756" s="171"/>
      <c r="K756" s="171"/>
      <c r="L756" s="171"/>
    </row>
    <row r="757" spans="3:12" ht="15.75" customHeight="1" x14ac:dyDescent="0.2">
      <c r="C757" s="171"/>
      <c r="D757" s="171"/>
      <c r="E757" s="171"/>
      <c r="F757" s="171"/>
      <c r="G757" s="171"/>
      <c r="H757" s="171"/>
      <c r="I757" s="171"/>
      <c r="J757" s="171"/>
      <c r="K757" s="171"/>
      <c r="L757" s="171"/>
    </row>
    <row r="758" spans="3:12" ht="15.75" customHeight="1" x14ac:dyDescent="0.2">
      <c r="C758" s="171"/>
      <c r="D758" s="171"/>
      <c r="E758" s="171"/>
      <c r="F758" s="171"/>
      <c r="G758" s="171"/>
      <c r="H758" s="171"/>
      <c r="I758" s="171"/>
      <c r="J758" s="171"/>
      <c r="K758" s="171"/>
      <c r="L758" s="171"/>
    </row>
    <row r="759" spans="3:12" ht="15.75" customHeight="1" x14ac:dyDescent="0.2">
      <c r="C759" s="171"/>
      <c r="D759" s="171"/>
      <c r="E759" s="171"/>
      <c r="F759" s="171"/>
      <c r="G759" s="171"/>
      <c r="H759" s="171"/>
      <c r="I759" s="171"/>
      <c r="J759" s="171"/>
      <c r="K759" s="171"/>
      <c r="L759" s="171"/>
    </row>
    <row r="760" spans="3:12" ht="15.75" customHeight="1" x14ac:dyDescent="0.2">
      <c r="C760" s="171"/>
      <c r="D760" s="171"/>
      <c r="E760" s="171"/>
      <c r="F760" s="171"/>
      <c r="G760" s="171"/>
      <c r="H760" s="171"/>
      <c r="I760" s="171"/>
      <c r="J760" s="171"/>
      <c r="K760" s="171"/>
      <c r="L760" s="171"/>
    </row>
    <row r="761" spans="3:12" ht="15.75" customHeight="1" x14ac:dyDescent="0.2">
      <c r="C761" s="171"/>
      <c r="D761" s="171"/>
      <c r="E761" s="171"/>
      <c r="F761" s="171"/>
      <c r="G761" s="171"/>
      <c r="H761" s="171"/>
      <c r="I761" s="171"/>
      <c r="J761" s="171"/>
      <c r="K761" s="171"/>
      <c r="L761" s="171"/>
    </row>
    <row r="762" spans="3:12" ht="15.75" customHeight="1" x14ac:dyDescent="0.2">
      <c r="C762" s="171"/>
      <c r="D762" s="171"/>
      <c r="E762" s="171"/>
      <c r="F762" s="171"/>
      <c r="G762" s="171"/>
      <c r="H762" s="171"/>
      <c r="I762" s="171"/>
      <c r="J762" s="171"/>
      <c r="K762" s="171"/>
      <c r="L762" s="171"/>
    </row>
    <row r="763" spans="3:12" ht="15.75" customHeight="1" x14ac:dyDescent="0.2">
      <c r="C763" s="171"/>
      <c r="D763" s="171"/>
      <c r="E763" s="171"/>
      <c r="F763" s="171"/>
      <c r="G763" s="171"/>
      <c r="H763" s="171"/>
      <c r="I763" s="171"/>
      <c r="J763" s="171"/>
      <c r="K763" s="171"/>
      <c r="L763" s="171"/>
    </row>
    <row r="764" spans="3:12" ht="15.75" customHeight="1" x14ac:dyDescent="0.2">
      <c r="C764" s="171"/>
      <c r="D764" s="171"/>
      <c r="E764" s="171"/>
      <c r="F764" s="171"/>
      <c r="G764" s="171"/>
      <c r="H764" s="171"/>
      <c r="I764" s="171"/>
      <c r="J764" s="171"/>
      <c r="K764" s="171"/>
      <c r="L764" s="171"/>
    </row>
    <row r="765" spans="3:12" ht="15.75" customHeight="1" x14ac:dyDescent="0.2">
      <c r="C765" s="171"/>
      <c r="D765" s="171"/>
      <c r="E765" s="171"/>
      <c r="F765" s="171"/>
      <c r="G765" s="171"/>
      <c r="H765" s="171"/>
      <c r="I765" s="171"/>
      <c r="J765" s="171"/>
      <c r="K765" s="171"/>
      <c r="L765" s="171"/>
    </row>
    <row r="766" spans="3:12" ht="15.75" customHeight="1" x14ac:dyDescent="0.2">
      <c r="C766" s="171"/>
      <c r="D766" s="171"/>
      <c r="E766" s="171"/>
      <c r="F766" s="171"/>
      <c r="G766" s="171"/>
      <c r="H766" s="171"/>
      <c r="I766" s="171"/>
      <c r="J766" s="171"/>
      <c r="K766" s="171"/>
      <c r="L766" s="171"/>
    </row>
    <row r="767" spans="3:12" ht="15.75" customHeight="1" x14ac:dyDescent="0.2">
      <c r="C767" s="171"/>
      <c r="D767" s="171"/>
      <c r="E767" s="171"/>
      <c r="F767" s="171"/>
      <c r="G767" s="171"/>
      <c r="H767" s="171"/>
      <c r="I767" s="171"/>
      <c r="J767" s="171"/>
      <c r="K767" s="171"/>
      <c r="L767" s="171"/>
    </row>
    <row r="768" spans="3:12" ht="15.75" customHeight="1" x14ac:dyDescent="0.2">
      <c r="C768" s="171"/>
      <c r="D768" s="171"/>
      <c r="E768" s="171"/>
      <c r="F768" s="171"/>
      <c r="G768" s="171"/>
      <c r="H768" s="171"/>
      <c r="I768" s="171"/>
      <c r="J768" s="171"/>
      <c r="K768" s="171"/>
      <c r="L768" s="171"/>
    </row>
    <row r="769" spans="3:12" ht="15.75" customHeight="1" x14ac:dyDescent="0.2">
      <c r="C769" s="171"/>
      <c r="D769" s="171"/>
      <c r="E769" s="171"/>
      <c r="F769" s="171"/>
      <c r="G769" s="171"/>
      <c r="H769" s="171"/>
      <c r="I769" s="171"/>
      <c r="J769" s="171"/>
      <c r="K769" s="171"/>
      <c r="L769" s="171"/>
    </row>
    <row r="770" spans="3:12" ht="15.75" customHeight="1" x14ac:dyDescent="0.2">
      <c r="C770" s="171"/>
      <c r="D770" s="171"/>
      <c r="E770" s="171"/>
      <c r="F770" s="171"/>
      <c r="G770" s="171"/>
      <c r="H770" s="171"/>
      <c r="I770" s="171"/>
      <c r="J770" s="171"/>
      <c r="K770" s="171"/>
      <c r="L770" s="171"/>
    </row>
    <row r="771" spans="3:12" ht="15.75" customHeight="1" x14ac:dyDescent="0.2">
      <c r="C771" s="171"/>
      <c r="D771" s="171"/>
      <c r="E771" s="171"/>
      <c r="F771" s="171"/>
      <c r="G771" s="171"/>
      <c r="H771" s="171"/>
      <c r="I771" s="171"/>
      <c r="J771" s="171"/>
      <c r="K771" s="171"/>
      <c r="L771" s="171"/>
    </row>
    <row r="772" spans="3:12" ht="15.75" customHeight="1" x14ac:dyDescent="0.2">
      <c r="C772" s="171"/>
      <c r="D772" s="171"/>
      <c r="E772" s="171"/>
      <c r="F772" s="171"/>
      <c r="G772" s="171"/>
      <c r="H772" s="171"/>
      <c r="I772" s="171"/>
      <c r="J772" s="171"/>
      <c r="K772" s="171"/>
      <c r="L772" s="171"/>
    </row>
    <row r="773" spans="3:12" ht="15.75" customHeight="1" x14ac:dyDescent="0.2">
      <c r="C773" s="171"/>
      <c r="D773" s="171"/>
      <c r="E773" s="171"/>
      <c r="F773" s="171"/>
      <c r="G773" s="171"/>
      <c r="H773" s="171"/>
      <c r="I773" s="171"/>
      <c r="J773" s="171"/>
      <c r="K773" s="171"/>
      <c r="L773" s="171"/>
    </row>
    <row r="774" spans="3:12" ht="15.75" customHeight="1" x14ac:dyDescent="0.2">
      <c r="C774" s="171"/>
      <c r="D774" s="171"/>
      <c r="E774" s="171"/>
      <c r="F774" s="171"/>
      <c r="G774" s="171"/>
      <c r="H774" s="171"/>
      <c r="I774" s="171"/>
      <c r="J774" s="171"/>
      <c r="K774" s="171"/>
      <c r="L774" s="171"/>
    </row>
    <row r="775" spans="3:12" ht="15.75" customHeight="1" x14ac:dyDescent="0.2">
      <c r="C775" s="171"/>
      <c r="D775" s="171"/>
      <c r="E775" s="171"/>
      <c r="F775" s="171"/>
      <c r="G775" s="171"/>
      <c r="H775" s="171"/>
      <c r="I775" s="171"/>
      <c r="J775" s="171"/>
      <c r="K775" s="171"/>
      <c r="L775" s="171"/>
    </row>
    <row r="776" spans="3:12" ht="15.75" customHeight="1" x14ac:dyDescent="0.2">
      <c r="C776" s="171"/>
      <c r="D776" s="171"/>
      <c r="E776" s="171"/>
      <c r="F776" s="171"/>
      <c r="G776" s="171"/>
      <c r="H776" s="171"/>
      <c r="I776" s="171"/>
      <c r="J776" s="171"/>
      <c r="K776" s="171"/>
      <c r="L776" s="171"/>
    </row>
    <row r="777" spans="3:12" ht="15.75" customHeight="1" x14ac:dyDescent="0.2">
      <c r="C777" s="171"/>
      <c r="D777" s="171"/>
      <c r="E777" s="171"/>
      <c r="F777" s="171"/>
      <c r="G777" s="171"/>
      <c r="H777" s="171"/>
      <c r="I777" s="171"/>
      <c r="J777" s="171"/>
      <c r="K777" s="171"/>
      <c r="L777" s="171"/>
    </row>
    <row r="778" spans="3:12" ht="15.75" customHeight="1" x14ac:dyDescent="0.2">
      <c r="C778" s="171"/>
      <c r="D778" s="171"/>
      <c r="E778" s="171"/>
      <c r="F778" s="171"/>
      <c r="G778" s="171"/>
      <c r="H778" s="171"/>
      <c r="I778" s="171"/>
      <c r="J778" s="171"/>
      <c r="K778" s="171"/>
      <c r="L778" s="171"/>
    </row>
    <row r="779" spans="3:12" ht="15.75" customHeight="1" x14ac:dyDescent="0.2">
      <c r="C779" s="171"/>
      <c r="D779" s="171"/>
      <c r="E779" s="171"/>
      <c r="F779" s="171"/>
      <c r="G779" s="171"/>
      <c r="H779" s="171"/>
      <c r="I779" s="171"/>
      <c r="J779" s="171"/>
      <c r="K779" s="171"/>
      <c r="L779" s="171"/>
    </row>
    <row r="780" spans="3:12" ht="15.75" customHeight="1" x14ac:dyDescent="0.2">
      <c r="C780" s="171"/>
      <c r="D780" s="171"/>
      <c r="E780" s="171"/>
      <c r="F780" s="171"/>
      <c r="G780" s="171"/>
      <c r="H780" s="171"/>
      <c r="I780" s="171"/>
      <c r="J780" s="171"/>
      <c r="K780" s="171"/>
      <c r="L780" s="171"/>
    </row>
    <row r="781" spans="3:12" ht="15.75" customHeight="1" x14ac:dyDescent="0.2">
      <c r="C781" s="171"/>
      <c r="D781" s="171"/>
      <c r="E781" s="171"/>
      <c r="F781" s="171"/>
      <c r="G781" s="171"/>
      <c r="H781" s="171"/>
      <c r="I781" s="171"/>
      <c r="J781" s="171"/>
      <c r="K781" s="171"/>
      <c r="L781" s="171"/>
    </row>
    <row r="782" spans="3:12" ht="15.75" customHeight="1" x14ac:dyDescent="0.2">
      <c r="C782" s="171"/>
      <c r="D782" s="171"/>
      <c r="E782" s="171"/>
      <c r="F782" s="171"/>
      <c r="G782" s="171"/>
      <c r="H782" s="171"/>
      <c r="I782" s="171"/>
      <c r="J782" s="171"/>
      <c r="K782" s="171"/>
      <c r="L782" s="171"/>
    </row>
    <row r="783" spans="3:12" ht="15.75" customHeight="1" x14ac:dyDescent="0.2">
      <c r="C783" s="171"/>
      <c r="D783" s="171"/>
      <c r="E783" s="171"/>
      <c r="F783" s="171"/>
      <c r="G783" s="171"/>
      <c r="H783" s="171"/>
      <c r="I783" s="171"/>
      <c r="J783" s="171"/>
      <c r="K783" s="171"/>
      <c r="L783" s="171"/>
    </row>
    <row r="784" spans="3:12" ht="15.75" customHeight="1" x14ac:dyDescent="0.2">
      <c r="C784" s="171"/>
      <c r="D784" s="171"/>
      <c r="E784" s="171"/>
      <c r="F784" s="171"/>
      <c r="G784" s="171"/>
      <c r="H784" s="171"/>
      <c r="I784" s="171"/>
      <c r="J784" s="171"/>
      <c r="K784" s="171"/>
      <c r="L784" s="171"/>
    </row>
    <row r="785" spans="3:12" ht="15.75" customHeight="1" x14ac:dyDescent="0.2">
      <c r="C785" s="171"/>
      <c r="D785" s="171"/>
      <c r="E785" s="171"/>
      <c r="F785" s="171"/>
      <c r="G785" s="171"/>
      <c r="H785" s="171"/>
      <c r="I785" s="171"/>
      <c r="J785" s="171"/>
      <c r="K785" s="171"/>
      <c r="L785" s="171"/>
    </row>
    <row r="786" spans="3:12" ht="15.75" customHeight="1" x14ac:dyDescent="0.2">
      <c r="C786" s="171"/>
      <c r="D786" s="171"/>
      <c r="E786" s="171"/>
      <c r="F786" s="171"/>
      <c r="G786" s="171"/>
      <c r="H786" s="171"/>
      <c r="I786" s="171"/>
      <c r="J786" s="171"/>
      <c r="K786" s="171"/>
      <c r="L786" s="171"/>
    </row>
    <row r="787" spans="3:12" ht="15.75" customHeight="1" x14ac:dyDescent="0.2">
      <c r="C787" s="171"/>
      <c r="D787" s="171"/>
      <c r="E787" s="171"/>
      <c r="F787" s="171"/>
      <c r="G787" s="171"/>
      <c r="H787" s="171"/>
      <c r="I787" s="171"/>
      <c r="J787" s="171"/>
      <c r="K787" s="171"/>
      <c r="L787" s="171"/>
    </row>
    <row r="788" spans="3:12" ht="15.75" customHeight="1" x14ac:dyDescent="0.2">
      <c r="C788" s="171"/>
      <c r="D788" s="171"/>
      <c r="E788" s="171"/>
      <c r="F788" s="171"/>
      <c r="G788" s="171"/>
      <c r="H788" s="171"/>
      <c r="I788" s="171"/>
      <c r="J788" s="171"/>
      <c r="K788" s="171"/>
      <c r="L788" s="171"/>
    </row>
    <row r="789" spans="3:12" ht="15.75" customHeight="1" x14ac:dyDescent="0.2">
      <c r="C789" s="171"/>
      <c r="D789" s="171"/>
      <c r="E789" s="171"/>
      <c r="F789" s="171"/>
      <c r="G789" s="171"/>
      <c r="H789" s="171"/>
      <c r="I789" s="171"/>
      <c r="J789" s="171"/>
      <c r="K789" s="171"/>
      <c r="L789" s="171"/>
    </row>
    <row r="790" spans="3:12" ht="15.75" customHeight="1" x14ac:dyDescent="0.2">
      <c r="C790" s="171"/>
      <c r="D790" s="171"/>
      <c r="E790" s="171"/>
      <c r="F790" s="171"/>
      <c r="G790" s="171"/>
      <c r="H790" s="171"/>
      <c r="I790" s="171"/>
      <c r="J790" s="171"/>
      <c r="K790" s="171"/>
      <c r="L790" s="171"/>
    </row>
    <row r="791" spans="3:12" ht="15.75" customHeight="1" x14ac:dyDescent="0.2">
      <c r="C791" s="171"/>
      <c r="D791" s="171"/>
      <c r="E791" s="171"/>
      <c r="F791" s="171"/>
      <c r="G791" s="171"/>
      <c r="H791" s="171"/>
      <c r="I791" s="171"/>
      <c r="J791" s="171"/>
      <c r="K791" s="171"/>
      <c r="L791" s="171"/>
    </row>
    <row r="792" spans="3:12" ht="15.75" customHeight="1" x14ac:dyDescent="0.2">
      <c r="C792" s="171"/>
      <c r="D792" s="171"/>
      <c r="E792" s="171"/>
      <c r="F792" s="171"/>
      <c r="G792" s="171"/>
      <c r="H792" s="171"/>
      <c r="I792" s="171"/>
      <c r="J792" s="171"/>
      <c r="K792" s="171"/>
      <c r="L792" s="171"/>
    </row>
    <row r="793" spans="3:12" ht="15.75" customHeight="1" x14ac:dyDescent="0.2">
      <c r="C793" s="171"/>
      <c r="D793" s="171"/>
      <c r="E793" s="171"/>
      <c r="F793" s="171"/>
      <c r="G793" s="171"/>
      <c r="H793" s="171"/>
      <c r="I793" s="171"/>
      <c r="J793" s="171"/>
      <c r="K793" s="171"/>
      <c r="L793" s="171"/>
    </row>
    <row r="794" spans="3:12" ht="15.75" customHeight="1" x14ac:dyDescent="0.2">
      <c r="C794" s="171"/>
      <c r="D794" s="171"/>
      <c r="E794" s="171"/>
      <c r="F794" s="171"/>
      <c r="G794" s="171"/>
      <c r="H794" s="171"/>
      <c r="I794" s="171"/>
      <c r="J794" s="171"/>
      <c r="K794" s="171"/>
      <c r="L794" s="171"/>
    </row>
    <row r="795" spans="3:12" ht="15.75" customHeight="1" x14ac:dyDescent="0.2">
      <c r="C795" s="171"/>
      <c r="D795" s="171"/>
      <c r="E795" s="171"/>
      <c r="F795" s="171"/>
      <c r="G795" s="171"/>
      <c r="H795" s="171"/>
      <c r="I795" s="171"/>
      <c r="J795" s="171"/>
      <c r="K795" s="171"/>
      <c r="L795" s="171"/>
    </row>
    <row r="796" spans="3:12" ht="15.75" customHeight="1" x14ac:dyDescent="0.2">
      <c r="C796" s="171"/>
      <c r="D796" s="171"/>
      <c r="E796" s="171"/>
      <c r="F796" s="171"/>
      <c r="G796" s="171"/>
      <c r="H796" s="171"/>
      <c r="I796" s="171"/>
      <c r="J796" s="171"/>
      <c r="K796" s="171"/>
      <c r="L796" s="171"/>
    </row>
    <row r="797" spans="3:12" ht="15.75" customHeight="1" x14ac:dyDescent="0.2">
      <c r="C797" s="171"/>
      <c r="D797" s="171"/>
      <c r="E797" s="171"/>
      <c r="F797" s="171"/>
      <c r="G797" s="171"/>
      <c r="H797" s="171"/>
      <c r="I797" s="171"/>
      <c r="J797" s="171"/>
      <c r="K797" s="171"/>
      <c r="L797" s="171"/>
    </row>
    <row r="798" spans="3:12" ht="15.75" customHeight="1" x14ac:dyDescent="0.2">
      <c r="C798" s="171"/>
      <c r="D798" s="171"/>
      <c r="E798" s="171"/>
      <c r="F798" s="171"/>
      <c r="G798" s="171"/>
      <c r="H798" s="171"/>
      <c r="I798" s="171"/>
      <c r="J798" s="171"/>
      <c r="K798" s="171"/>
      <c r="L798" s="171"/>
    </row>
    <row r="799" spans="3:12" ht="15.75" customHeight="1" x14ac:dyDescent="0.2">
      <c r="C799" s="171"/>
      <c r="D799" s="171"/>
      <c r="E799" s="171"/>
      <c r="F799" s="171"/>
      <c r="G799" s="171"/>
      <c r="H799" s="171"/>
      <c r="I799" s="171"/>
      <c r="J799" s="171"/>
      <c r="K799" s="171"/>
      <c r="L799" s="171"/>
    </row>
    <row r="800" spans="3:12" ht="15.75" customHeight="1" x14ac:dyDescent="0.2">
      <c r="C800" s="171"/>
      <c r="D800" s="171"/>
      <c r="E800" s="171"/>
      <c r="F800" s="171"/>
      <c r="G800" s="171"/>
      <c r="H800" s="171"/>
      <c r="I800" s="171"/>
      <c r="J800" s="171"/>
      <c r="K800" s="171"/>
      <c r="L800" s="171"/>
    </row>
    <row r="801" spans="3:12" ht="15.75" customHeight="1" x14ac:dyDescent="0.2">
      <c r="C801" s="171"/>
      <c r="D801" s="171"/>
      <c r="E801" s="171"/>
      <c r="F801" s="171"/>
      <c r="G801" s="171"/>
      <c r="H801" s="171"/>
      <c r="I801" s="171"/>
      <c r="J801" s="171"/>
      <c r="K801" s="171"/>
      <c r="L801" s="171"/>
    </row>
    <row r="802" spans="3:12" ht="15.75" customHeight="1" x14ac:dyDescent="0.2">
      <c r="C802" s="171"/>
      <c r="D802" s="171"/>
      <c r="E802" s="171"/>
      <c r="F802" s="171"/>
      <c r="G802" s="171"/>
      <c r="H802" s="171"/>
      <c r="I802" s="171"/>
      <c r="J802" s="171"/>
      <c r="K802" s="171"/>
      <c r="L802" s="171"/>
    </row>
    <row r="803" spans="3:12" ht="15.75" customHeight="1" x14ac:dyDescent="0.2">
      <c r="C803" s="171"/>
      <c r="D803" s="171"/>
      <c r="E803" s="171"/>
      <c r="F803" s="171"/>
      <c r="G803" s="171"/>
      <c r="H803" s="171"/>
      <c r="I803" s="171"/>
      <c r="J803" s="171"/>
      <c r="K803" s="171"/>
      <c r="L803" s="171"/>
    </row>
    <row r="804" spans="3:12" ht="15.75" customHeight="1" x14ac:dyDescent="0.2">
      <c r="C804" s="171"/>
      <c r="D804" s="171"/>
      <c r="E804" s="171"/>
      <c r="F804" s="171"/>
      <c r="G804" s="171"/>
      <c r="H804" s="171"/>
      <c r="I804" s="171"/>
      <c r="J804" s="171"/>
      <c r="K804" s="171"/>
      <c r="L804" s="171"/>
    </row>
    <row r="805" spans="3:12" ht="15.75" customHeight="1" x14ac:dyDescent="0.2">
      <c r="C805" s="171"/>
      <c r="D805" s="171"/>
      <c r="E805" s="171"/>
      <c r="F805" s="171"/>
      <c r="G805" s="171"/>
      <c r="H805" s="171"/>
      <c r="I805" s="171"/>
      <c r="J805" s="171"/>
      <c r="K805" s="171"/>
      <c r="L805" s="171"/>
    </row>
    <row r="806" spans="3:12" ht="15.75" customHeight="1" x14ac:dyDescent="0.2">
      <c r="C806" s="171"/>
      <c r="D806" s="171"/>
      <c r="E806" s="171"/>
      <c r="F806" s="171"/>
      <c r="G806" s="171"/>
      <c r="H806" s="171"/>
      <c r="I806" s="171"/>
      <c r="J806" s="171"/>
      <c r="K806" s="171"/>
      <c r="L806" s="171"/>
    </row>
    <row r="807" spans="3:12" ht="15.75" customHeight="1" x14ac:dyDescent="0.2">
      <c r="C807" s="171"/>
      <c r="D807" s="171"/>
      <c r="E807" s="171"/>
      <c r="F807" s="171"/>
      <c r="G807" s="171"/>
      <c r="H807" s="171"/>
      <c r="I807" s="171"/>
      <c r="J807" s="171"/>
      <c r="K807" s="171"/>
      <c r="L807" s="171"/>
    </row>
    <row r="808" spans="3:12" ht="15.75" customHeight="1" x14ac:dyDescent="0.2">
      <c r="C808" s="171"/>
      <c r="D808" s="171"/>
      <c r="E808" s="171"/>
      <c r="F808" s="171"/>
      <c r="G808" s="171"/>
      <c r="H808" s="171"/>
      <c r="I808" s="171"/>
      <c r="J808" s="171"/>
      <c r="K808" s="171"/>
      <c r="L808" s="171"/>
    </row>
    <row r="809" spans="3:12" ht="15.75" customHeight="1" x14ac:dyDescent="0.2">
      <c r="C809" s="171"/>
      <c r="D809" s="171"/>
      <c r="E809" s="171"/>
      <c r="F809" s="171"/>
      <c r="G809" s="171"/>
      <c r="H809" s="171"/>
      <c r="I809" s="171"/>
      <c r="J809" s="171"/>
      <c r="K809" s="171"/>
      <c r="L809" s="171"/>
    </row>
    <row r="810" spans="3:12" ht="15.75" customHeight="1" x14ac:dyDescent="0.2">
      <c r="C810" s="171"/>
      <c r="D810" s="171"/>
      <c r="E810" s="171"/>
      <c r="F810" s="171"/>
      <c r="G810" s="171"/>
      <c r="H810" s="171"/>
      <c r="I810" s="171"/>
      <c r="J810" s="171"/>
      <c r="K810" s="171"/>
      <c r="L810" s="171"/>
    </row>
    <row r="811" spans="3:12" ht="15.75" customHeight="1" x14ac:dyDescent="0.2">
      <c r="C811" s="171"/>
      <c r="D811" s="171"/>
      <c r="E811" s="171"/>
      <c r="F811" s="171"/>
      <c r="G811" s="171"/>
      <c r="H811" s="171"/>
      <c r="I811" s="171"/>
      <c r="J811" s="171"/>
      <c r="K811" s="171"/>
      <c r="L811" s="171"/>
    </row>
    <row r="812" spans="3:12" ht="15.75" customHeight="1" x14ac:dyDescent="0.2">
      <c r="C812" s="171"/>
      <c r="D812" s="171"/>
      <c r="E812" s="171"/>
      <c r="F812" s="171"/>
      <c r="G812" s="171"/>
      <c r="H812" s="171"/>
      <c r="I812" s="171"/>
      <c r="J812" s="171"/>
      <c r="K812" s="171"/>
      <c r="L812" s="171"/>
    </row>
    <row r="813" spans="3:12" ht="15.75" customHeight="1" x14ac:dyDescent="0.2">
      <c r="C813" s="171"/>
      <c r="D813" s="171"/>
      <c r="E813" s="171"/>
      <c r="F813" s="171"/>
      <c r="G813" s="171"/>
      <c r="H813" s="171"/>
      <c r="I813" s="171"/>
      <c r="J813" s="171"/>
      <c r="K813" s="171"/>
      <c r="L813" s="171"/>
    </row>
    <row r="814" spans="3:12" ht="15.75" customHeight="1" x14ac:dyDescent="0.2">
      <c r="C814" s="171"/>
      <c r="D814" s="171"/>
      <c r="E814" s="171"/>
      <c r="F814" s="171"/>
      <c r="G814" s="171"/>
      <c r="H814" s="171"/>
      <c r="I814" s="171"/>
      <c r="J814" s="171"/>
      <c r="K814" s="171"/>
      <c r="L814" s="171"/>
    </row>
    <row r="815" spans="3:12" ht="15.75" customHeight="1" x14ac:dyDescent="0.2">
      <c r="C815" s="171"/>
      <c r="D815" s="171"/>
      <c r="E815" s="171"/>
      <c r="F815" s="171"/>
      <c r="G815" s="171"/>
      <c r="H815" s="171"/>
      <c r="I815" s="171"/>
      <c r="J815" s="171"/>
      <c r="K815" s="171"/>
      <c r="L815" s="171"/>
    </row>
    <row r="816" spans="3:12" ht="15.75" customHeight="1" x14ac:dyDescent="0.2">
      <c r="C816" s="171"/>
      <c r="D816" s="171"/>
      <c r="E816" s="171"/>
      <c r="F816" s="171"/>
      <c r="G816" s="171"/>
      <c r="H816" s="171"/>
      <c r="I816" s="171"/>
      <c r="J816" s="171"/>
      <c r="K816" s="171"/>
      <c r="L816" s="171"/>
    </row>
    <row r="817" spans="3:12" ht="15.75" customHeight="1" x14ac:dyDescent="0.2">
      <c r="C817" s="171"/>
      <c r="D817" s="171"/>
      <c r="E817" s="171"/>
      <c r="F817" s="171"/>
      <c r="G817" s="171"/>
      <c r="H817" s="171"/>
      <c r="I817" s="171"/>
      <c r="J817" s="171"/>
      <c r="K817" s="171"/>
      <c r="L817" s="171"/>
    </row>
    <row r="818" spans="3:12" ht="15.75" customHeight="1" x14ac:dyDescent="0.2">
      <c r="C818" s="171"/>
      <c r="D818" s="171"/>
      <c r="E818" s="171"/>
      <c r="F818" s="171"/>
      <c r="G818" s="171"/>
      <c r="H818" s="171"/>
      <c r="I818" s="171"/>
      <c r="J818" s="171"/>
      <c r="K818" s="171"/>
      <c r="L818" s="171"/>
    </row>
    <row r="819" spans="3:12" ht="15.75" customHeight="1" x14ac:dyDescent="0.2">
      <c r="C819" s="171"/>
      <c r="D819" s="171"/>
      <c r="E819" s="171"/>
      <c r="F819" s="171"/>
      <c r="G819" s="171"/>
      <c r="H819" s="171"/>
      <c r="I819" s="171"/>
      <c r="J819" s="171"/>
      <c r="K819" s="171"/>
      <c r="L819" s="171"/>
    </row>
    <row r="820" spans="3:12" ht="15.75" customHeight="1" x14ac:dyDescent="0.2">
      <c r="C820" s="171"/>
      <c r="D820" s="171"/>
      <c r="E820" s="171"/>
      <c r="F820" s="171"/>
      <c r="G820" s="171"/>
      <c r="H820" s="171"/>
      <c r="I820" s="171"/>
      <c r="J820" s="171"/>
      <c r="K820" s="171"/>
      <c r="L820" s="171"/>
    </row>
    <row r="821" spans="3:12" ht="15.75" customHeight="1" x14ac:dyDescent="0.2">
      <c r="C821" s="171"/>
      <c r="D821" s="171"/>
      <c r="E821" s="171"/>
      <c r="F821" s="171"/>
      <c r="G821" s="171"/>
      <c r="H821" s="171"/>
      <c r="I821" s="171"/>
      <c r="J821" s="171"/>
      <c r="K821" s="171"/>
      <c r="L821" s="171"/>
    </row>
    <row r="822" spans="3:12" ht="15.75" customHeight="1" x14ac:dyDescent="0.2">
      <c r="C822" s="171"/>
      <c r="D822" s="171"/>
      <c r="E822" s="171"/>
      <c r="F822" s="171"/>
      <c r="G822" s="171"/>
      <c r="H822" s="171"/>
      <c r="I822" s="171"/>
      <c r="J822" s="171"/>
      <c r="K822" s="171"/>
      <c r="L822" s="171"/>
    </row>
    <row r="823" spans="3:12" ht="15.75" customHeight="1" x14ac:dyDescent="0.2">
      <c r="C823" s="171"/>
      <c r="D823" s="171"/>
      <c r="E823" s="171"/>
      <c r="F823" s="171"/>
      <c r="G823" s="171"/>
      <c r="H823" s="171"/>
      <c r="I823" s="171"/>
      <c r="J823" s="171"/>
      <c r="K823" s="171"/>
      <c r="L823" s="171"/>
    </row>
    <row r="824" spans="3:12" ht="15.75" customHeight="1" x14ac:dyDescent="0.2">
      <c r="C824" s="171"/>
      <c r="D824" s="171"/>
      <c r="E824" s="171"/>
      <c r="F824" s="171"/>
      <c r="G824" s="171"/>
      <c r="H824" s="171"/>
      <c r="I824" s="171"/>
      <c r="J824" s="171"/>
      <c r="K824" s="171"/>
      <c r="L824" s="171"/>
    </row>
    <row r="825" spans="3:12" ht="15.75" customHeight="1" x14ac:dyDescent="0.2">
      <c r="C825" s="171"/>
      <c r="D825" s="171"/>
      <c r="E825" s="171"/>
      <c r="F825" s="171"/>
      <c r="G825" s="171"/>
      <c r="H825" s="171"/>
      <c r="I825" s="171"/>
      <c r="J825" s="171"/>
      <c r="K825" s="171"/>
      <c r="L825" s="171"/>
    </row>
    <row r="826" spans="3:12" ht="15.75" customHeight="1" x14ac:dyDescent="0.2">
      <c r="C826" s="171"/>
      <c r="D826" s="171"/>
      <c r="E826" s="171"/>
      <c r="F826" s="171"/>
      <c r="G826" s="171"/>
      <c r="H826" s="171"/>
      <c r="I826" s="171"/>
      <c r="J826" s="171"/>
      <c r="K826" s="171"/>
      <c r="L826" s="171"/>
    </row>
    <row r="827" spans="3:12" ht="15.75" customHeight="1" x14ac:dyDescent="0.2">
      <c r="C827" s="171"/>
      <c r="D827" s="171"/>
      <c r="E827" s="171"/>
      <c r="F827" s="171"/>
      <c r="G827" s="171"/>
      <c r="H827" s="171"/>
      <c r="I827" s="171"/>
      <c r="J827" s="171"/>
      <c r="K827" s="171"/>
      <c r="L827" s="171"/>
    </row>
    <row r="828" spans="3:12" ht="15.75" customHeight="1" x14ac:dyDescent="0.2">
      <c r="C828" s="171"/>
      <c r="D828" s="171"/>
      <c r="E828" s="171"/>
      <c r="F828" s="171"/>
      <c r="G828" s="171"/>
      <c r="H828" s="171"/>
      <c r="I828" s="171"/>
      <c r="J828" s="171"/>
      <c r="K828" s="171"/>
      <c r="L828" s="171"/>
    </row>
    <row r="829" spans="3:12" ht="15.75" customHeight="1" x14ac:dyDescent="0.2">
      <c r="C829" s="171"/>
      <c r="D829" s="171"/>
      <c r="E829" s="171"/>
      <c r="F829" s="171"/>
      <c r="G829" s="171"/>
      <c r="H829" s="171"/>
      <c r="I829" s="171"/>
      <c r="J829" s="171"/>
      <c r="K829" s="171"/>
      <c r="L829" s="171"/>
    </row>
    <row r="830" spans="3:12" ht="15.75" customHeight="1" x14ac:dyDescent="0.2">
      <c r="C830" s="171"/>
      <c r="D830" s="171"/>
      <c r="E830" s="171"/>
      <c r="F830" s="171"/>
      <c r="G830" s="171"/>
      <c r="H830" s="171"/>
      <c r="I830" s="171"/>
      <c r="J830" s="171"/>
      <c r="K830" s="171"/>
      <c r="L830" s="171"/>
    </row>
    <row r="831" spans="3:12" ht="15.75" customHeight="1" x14ac:dyDescent="0.2">
      <c r="C831" s="171"/>
      <c r="D831" s="171"/>
      <c r="E831" s="171"/>
      <c r="F831" s="171"/>
      <c r="G831" s="171"/>
      <c r="H831" s="171"/>
      <c r="I831" s="171"/>
      <c r="J831" s="171"/>
      <c r="K831" s="171"/>
      <c r="L831" s="171"/>
    </row>
    <row r="832" spans="3:12" ht="15.75" customHeight="1" x14ac:dyDescent="0.2">
      <c r="C832" s="171"/>
      <c r="D832" s="171"/>
      <c r="E832" s="171"/>
      <c r="F832" s="171"/>
      <c r="G832" s="171"/>
      <c r="H832" s="171"/>
      <c r="I832" s="171"/>
      <c r="J832" s="171"/>
      <c r="K832" s="171"/>
      <c r="L832" s="171"/>
    </row>
    <row r="833" spans="3:12" ht="15.75" customHeight="1" x14ac:dyDescent="0.2">
      <c r="C833" s="171"/>
      <c r="D833" s="171"/>
      <c r="E833" s="171"/>
      <c r="F833" s="171"/>
      <c r="G833" s="171"/>
      <c r="H833" s="171"/>
      <c r="I833" s="171"/>
      <c r="J833" s="171"/>
      <c r="K833" s="171"/>
      <c r="L833" s="171"/>
    </row>
    <row r="834" spans="3:12" ht="15.75" customHeight="1" x14ac:dyDescent="0.2">
      <c r="C834" s="171"/>
      <c r="D834" s="171"/>
      <c r="E834" s="171"/>
      <c r="F834" s="171"/>
      <c r="G834" s="171"/>
      <c r="H834" s="171"/>
      <c r="I834" s="171"/>
      <c r="J834" s="171"/>
      <c r="K834" s="171"/>
      <c r="L834" s="171"/>
    </row>
    <row r="835" spans="3:12" ht="15.75" customHeight="1" x14ac:dyDescent="0.2">
      <c r="C835" s="171"/>
      <c r="D835" s="171"/>
      <c r="E835" s="171"/>
      <c r="F835" s="171"/>
      <c r="G835" s="171"/>
      <c r="H835" s="171"/>
      <c r="I835" s="171"/>
      <c r="J835" s="171"/>
      <c r="K835" s="171"/>
      <c r="L835" s="171"/>
    </row>
    <row r="836" spans="3:12" ht="15.75" customHeight="1" x14ac:dyDescent="0.2">
      <c r="C836" s="171"/>
      <c r="D836" s="171"/>
      <c r="E836" s="171"/>
      <c r="F836" s="171"/>
      <c r="G836" s="171"/>
      <c r="H836" s="171"/>
      <c r="I836" s="171"/>
      <c r="J836" s="171"/>
      <c r="K836" s="171"/>
      <c r="L836" s="171"/>
    </row>
    <row r="837" spans="3:12" ht="15.75" customHeight="1" x14ac:dyDescent="0.2">
      <c r="C837" s="171"/>
      <c r="D837" s="171"/>
      <c r="E837" s="171"/>
      <c r="F837" s="171"/>
      <c r="G837" s="171"/>
      <c r="H837" s="171"/>
      <c r="I837" s="171"/>
      <c r="J837" s="171"/>
      <c r="K837" s="171"/>
      <c r="L837" s="171"/>
    </row>
    <row r="838" spans="3:12" ht="15.75" customHeight="1" x14ac:dyDescent="0.2">
      <c r="C838" s="171"/>
      <c r="D838" s="171"/>
      <c r="E838" s="171"/>
      <c r="F838" s="171"/>
      <c r="G838" s="171"/>
      <c r="H838" s="171"/>
      <c r="I838" s="171"/>
      <c r="J838" s="171"/>
      <c r="K838" s="171"/>
      <c r="L838" s="171"/>
    </row>
    <row r="839" spans="3:12" ht="15.75" customHeight="1" x14ac:dyDescent="0.2">
      <c r="C839" s="171"/>
      <c r="D839" s="171"/>
      <c r="E839" s="171"/>
      <c r="F839" s="171"/>
      <c r="G839" s="171"/>
      <c r="H839" s="171"/>
      <c r="I839" s="171"/>
      <c r="J839" s="171"/>
      <c r="K839" s="171"/>
      <c r="L839" s="171"/>
    </row>
    <row r="840" spans="3:12" ht="15.75" customHeight="1" x14ac:dyDescent="0.2">
      <c r="C840" s="171"/>
      <c r="D840" s="171"/>
      <c r="E840" s="171"/>
      <c r="F840" s="171"/>
      <c r="G840" s="171"/>
      <c r="H840" s="171"/>
      <c r="I840" s="171"/>
      <c r="J840" s="171"/>
      <c r="K840" s="171"/>
      <c r="L840" s="171"/>
    </row>
    <row r="841" spans="3:12" ht="15.75" customHeight="1" x14ac:dyDescent="0.2">
      <c r="C841" s="171"/>
      <c r="D841" s="171"/>
      <c r="E841" s="171"/>
      <c r="F841" s="171"/>
      <c r="G841" s="171"/>
      <c r="H841" s="171"/>
      <c r="I841" s="171"/>
      <c r="J841" s="171"/>
      <c r="K841" s="171"/>
      <c r="L841" s="171"/>
    </row>
    <row r="842" spans="3:12" ht="15.75" customHeight="1" x14ac:dyDescent="0.2">
      <c r="C842" s="171"/>
      <c r="D842" s="171"/>
      <c r="E842" s="171"/>
      <c r="F842" s="171"/>
      <c r="G842" s="171"/>
      <c r="H842" s="171"/>
      <c r="I842" s="171"/>
      <c r="J842" s="171"/>
      <c r="K842" s="171"/>
      <c r="L842" s="171"/>
    </row>
    <row r="843" spans="3:12" ht="15.75" customHeight="1" x14ac:dyDescent="0.2">
      <c r="C843" s="171"/>
      <c r="D843" s="171"/>
      <c r="E843" s="171"/>
      <c r="F843" s="171"/>
      <c r="G843" s="171"/>
      <c r="H843" s="171"/>
      <c r="I843" s="171"/>
      <c r="J843" s="171"/>
      <c r="K843" s="171"/>
      <c r="L843" s="171"/>
    </row>
    <row r="844" spans="3:12" ht="15.75" customHeight="1" x14ac:dyDescent="0.2">
      <c r="C844" s="171"/>
      <c r="D844" s="171"/>
      <c r="E844" s="171"/>
      <c r="F844" s="171"/>
      <c r="G844" s="171"/>
      <c r="H844" s="171"/>
      <c r="I844" s="171"/>
      <c r="J844" s="171"/>
      <c r="K844" s="171"/>
      <c r="L844" s="171"/>
    </row>
    <row r="845" spans="3:12" ht="15.75" customHeight="1" x14ac:dyDescent="0.2">
      <c r="C845" s="171"/>
      <c r="D845" s="171"/>
      <c r="E845" s="171"/>
      <c r="F845" s="171"/>
      <c r="G845" s="171"/>
      <c r="H845" s="171"/>
      <c r="I845" s="171"/>
      <c r="J845" s="171"/>
      <c r="K845" s="171"/>
      <c r="L845" s="171"/>
    </row>
    <row r="846" spans="3:12" ht="15.75" customHeight="1" x14ac:dyDescent="0.2">
      <c r="C846" s="171"/>
      <c r="D846" s="171"/>
      <c r="E846" s="171"/>
      <c r="F846" s="171"/>
      <c r="G846" s="171"/>
      <c r="H846" s="171"/>
      <c r="I846" s="171"/>
      <c r="J846" s="171"/>
      <c r="K846" s="171"/>
      <c r="L846" s="171"/>
    </row>
    <row r="847" spans="3:12" ht="15.75" customHeight="1" x14ac:dyDescent="0.2">
      <c r="C847" s="171"/>
      <c r="D847" s="171"/>
      <c r="E847" s="171"/>
      <c r="F847" s="171"/>
      <c r="G847" s="171"/>
      <c r="H847" s="171"/>
      <c r="I847" s="171"/>
      <c r="J847" s="171"/>
      <c r="K847" s="171"/>
      <c r="L847" s="171"/>
    </row>
    <row r="848" spans="3:12" ht="15.75" customHeight="1" x14ac:dyDescent="0.2">
      <c r="C848" s="171"/>
      <c r="D848" s="171"/>
      <c r="E848" s="171"/>
      <c r="F848" s="171"/>
      <c r="G848" s="171"/>
      <c r="H848" s="171"/>
      <c r="I848" s="171"/>
      <c r="J848" s="171"/>
      <c r="K848" s="171"/>
      <c r="L848" s="171"/>
    </row>
    <row r="849" spans="3:12" ht="15.75" customHeight="1" x14ac:dyDescent="0.2">
      <c r="C849" s="171"/>
      <c r="D849" s="171"/>
      <c r="E849" s="171"/>
      <c r="F849" s="171"/>
      <c r="G849" s="171"/>
      <c r="H849" s="171"/>
      <c r="I849" s="171"/>
      <c r="J849" s="171"/>
      <c r="K849" s="171"/>
      <c r="L849" s="171"/>
    </row>
    <row r="850" spans="3:12" ht="15.75" customHeight="1" x14ac:dyDescent="0.2">
      <c r="C850" s="171"/>
      <c r="D850" s="171"/>
      <c r="E850" s="171"/>
      <c r="F850" s="171"/>
      <c r="G850" s="171"/>
      <c r="H850" s="171"/>
      <c r="I850" s="171"/>
      <c r="J850" s="171"/>
      <c r="K850" s="171"/>
      <c r="L850" s="171"/>
    </row>
    <row r="851" spans="3:12" ht="15.75" customHeight="1" x14ac:dyDescent="0.2">
      <c r="C851" s="171"/>
      <c r="D851" s="171"/>
      <c r="E851" s="171"/>
      <c r="F851" s="171"/>
      <c r="G851" s="171"/>
      <c r="H851" s="171"/>
      <c r="I851" s="171"/>
      <c r="J851" s="171"/>
      <c r="K851" s="171"/>
      <c r="L851" s="171"/>
    </row>
    <row r="852" spans="3:12" ht="15.75" customHeight="1" x14ac:dyDescent="0.2">
      <c r="C852" s="171"/>
      <c r="D852" s="171"/>
      <c r="E852" s="171"/>
      <c r="F852" s="171"/>
      <c r="G852" s="171"/>
      <c r="H852" s="171"/>
      <c r="I852" s="171"/>
      <c r="J852" s="171"/>
      <c r="K852" s="171"/>
      <c r="L852" s="171"/>
    </row>
    <row r="853" spans="3:12" ht="15.75" customHeight="1" x14ac:dyDescent="0.2">
      <c r="C853" s="171"/>
      <c r="D853" s="171"/>
      <c r="E853" s="171"/>
      <c r="F853" s="171"/>
      <c r="G853" s="171"/>
      <c r="H853" s="171"/>
      <c r="I853" s="171"/>
      <c r="J853" s="171"/>
      <c r="K853" s="171"/>
      <c r="L853" s="171"/>
    </row>
    <row r="854" spans="3:12" ht="15.75" customHeight="1" x14ac:dyDescent="0.2">
      <c r="C854" s="171"/>
      <c r="D854" s="171"/>
      <c r="E854" s="171"/>
      <c r="F854" s="171"/>
      <c r="G854" s="171"/>
      <c r="H854" s="171"/>
      <c r="I854" s="171"/>
      <c r="J854" s="171"/>
      <c r="K854" s="171"/>
      <c r="L854" s="171"/>
    </row>
    <row r="855" spans="3:12" ht="15.75" customHeight="1" x14ac:dyDescent="0.2">
      <c r="C855" s="171"/>
      <c r="D855" s="171"/>
      <c r="E855" s="171"/>
      <c r="F855" s="171"/>
      <c r="G855" s="171"/>
      <c r="H855" s="171"/>
      <c r="I855" s="171"/>
      <c r="J855" s="171"/>
      <c r="K855" s="171"/>
      <c r="L855" s="171"/>
    </row>
    <row r="856" spans="3:12" ht="15.75" customHeight="1" x14ac:dyDescent="0.2">
      <c r="C856" s="171"/>
      <c r="D856" s="171"/>
      <c r="E856" s="171"/>
      <c r="F856" s="171"/>
      <c r="G856" s="171"/>
      <c r="H856" s="171"/>
      <c r="I856" s="171"/>
      <c r="J856" s="171"/>
      <c r="K856" s="171"/>
      <c r="L856" s="171"/>
    </row>
    <row r="857" spans="3:12" ht="15.75" customHeight="1" x14ac:dyDescent="0.2">
      <c r="C857" s="171"/>
      <c r="D857" s="171"/>
      <c r="E857" s="171"/>
      <c r="F857" s="171"/>
      <c r="G857" s="171"/>
      <c r="H857" s="171"/>
      <c r="I857" s="171"/>
      <c r="J857" s="171"/>
      <c r="K857" s="171"/>
      <c r="L857" s="171"/>
    </row>
    <row r="858" spans="3:12" ht="15.75" customHeight="1" x14ac:dyDescent="0.2">
      <c r="C858" s="171"/>
      <c r="D858" s="171"/>
      <c r="E858" s="171"/>
      <c r="F858" s="171"/>
      <c r="G858" s="171"/>
      <c r="H858" s="171"/>
      <c r="I858" s="171"/>
      <c r="J858" s="171"/>
      <c r="K858" s="171"/>
      <c r="L858" s="171"/>
    </row>
    <row r="859" spans="3:12" ht="15.75" customHeight="1" x14ac:dyDescent="0.2">
      <c r="C859" s="171"/>
      <c r="D859" s="171"/>
      <c r="E859" s="171"/>
      <c r="F859" s="171"/>
      <c r="G859" s="171"/>
      <c r="H859" s="171"/>
      <c r="I859" s="171"/>
      <c r="J859" s="171"/>
      <c r="K859" s="171"/>
      <c r="L859" s="171"/>
    </row>
    <row r="860" spans="3:12" ht="15.75" customHeight="1" x14ac:dyDescent="0.2">
      <c r="C860" s="171"/>
      <c r="D860" s="171"/>
      <c r="E860" s="171"/>
      <c r="F860" s="171"/>
      <c r="G860" s="171"/>
      <c r="H860" s="171"/>
      <c r="I860" s="171"/>
      <c r="J860" s="171"/>
      <c r="K860" s="171"/>
      <c r="L860" s="171"/>
    </row>
    <row r="861" spans="3:12" ht="15.75" customHeight="1" x14ac:dyDescent="0.2">
      <c r="C861" s="171"/>
      <c r="D861" s="171"/>
      <c r="E861" s="171"/>
      <c r="F861" s="171"/>
      <c r="G861" s="171"/>
      <c r="H861" s="171"/>
      <c r="I861" s="171"/>
      <c r="J861" s="171"/>
      <c r="K861" s="171"/>
      <c r="L861" s="171"/>
    </row>
    <row r="862" spans="3:12" ht="15.75" customHeight="1" x14ac:dyDescent="0.2">
      <c r="C862" s="171"/>
      <c r="D862" s="171"/>
      <c r="E862" s="171"/>
      <c r="F862" s="171"/>
      <c r="G862" s="171"/>
      <c r="H862" s="171"/>
      <c r="I862" s="171"/>
      <c r="J862" s="171"/>
      <c r="K862" s="171"/>
      <c r="L862" s="171"/>
    </row>
    <row r="863" spans="3:12" ht="15.75" customHeight="1" x14ac:dyDescent="0.2">
      <c r="C863" s="171"/>
      <c r="D863" s="171"/>
      <c r="E863" s="171"/>
      <c r="F863" s="171"/>
      <c r="G863" s="171"/>
      <c r="H863" s="171"/>
      <c r="I863" s="171"/>
      <c r="J863" s="171"/>
      <c r="K863" s="171"/>
      <c r="L863" s="171"/>
    </row>
    <row r="864" spans="3:12" ht="15.75" customHeight="1" x14ac:dyDescent="0.2">
      <c r="C864" s="171"/>
      <c r="D864" s="171"/>
      <c r="E864" s="171"/>
      <c r="F864" s="171"/>
      <c r="G864" s="171"/>
      <c r="H864" s="171"/>
      <c r="I864" s="171"/>
      <c r="J864" s="171"/>
      <c r="K864" s="171"/>
      <c r="L864" s="171"/>
    </row>
    <row r="865" spans="3:12" ht="15.75" customHeight="1" x14ac:dyDescent="0.2">
      <c r="C865" s="171"/>
      <c r="D865" s="171"/>
      <c r="E865" s="171"/>
      <c r="F865" s="171"/>
      <c r="G865" s="171"/>
      <c r="H865" s="171"/>
      <c r="I865" s="171"/>
      <c r="J865" s="171"/>
      <c r="K865" s="171"/>
      <c r="L865" s="171"/>
    </row>
    <row r="866" spans="3:12" ht="15.75" customHeight="1" x14ac:dyDescent="0.2">
      <c r="C866" s="171"/>
      <c r="D866" s="171"/>
      <c r="E866" s="171"/>
      <c r="F866" s="171"/>
      <c r="G866" s="171"/>
      <c r="H866" s="171"/>
      <c r="I866" s="171"/>
      <c r="J866" s="171"/>
      <c r="K866" s="171"/>
      <c r="L866" s="171"/>
    </row>
    <row r="867" spans="3:12" ht="15.75" customHeight="1" x14ac:dyDescent="0.2">
      <c r="C867" s="171"/>
      <c r="D867" s="171"/>
      <c r="E867" s="171"/>
      <c r="F867" s="171"/>
      <c r="G867" s="171"/>
      <c r="H867" s="171"/>
      <c r="I867" s="171"/>
      <c r="J867" s="171"/>
      <c r="K867" s="171"/>
      <c r="L867" s="171"/>
    </row>
    <row r="868" spans="3:12" ht="15.75" customHeight="1" x14ac:dyDescent="0.2">
      <c r="C868" s="171"/>
      <c r="D868" s="171"/>
      <c r="E868" s="171"/>
      <c r="F868" s="171"/>
      <c r="G868" s="171"/>
      <c r="H868" s="171"/>
      <c r="I868" s="171"/>
      <c r="J868" s="171"/>
      <c r="K868" s="171"/>
      <c r="L868" s="171"/>
    </row>
    <row r="869" spans="3:12" ht="15.75" customHeight="1" x14ac:dyDescent="0.2">
      <c r="C869" s="171"/>
      <c r="D869" s="171"/>
      <c r="E869" s="171"/>
      <c r="F869" s="171"/>
      <c r="G869" s="171"/>
      <c r="H869" s="171"/>
      <c r="I869" s="171"/>
      <c r="J869" s="171"/>
      <c r="K869" s="171"/>
      <c r="L869" s="171"/>
    </row>
    <row r="870" spans="3:12" ht="15.75" customHeight="1" x14ac:dyDescent="0.2">
      <c r="C870" s="171"/>
      <c r="D870" s="171"/>
      <c r="E870" s="171"/>
      <c r="F870" s="171"/>
      <c r="G870" s="171"/>
      <c r="H870" s="171"/>
      <c r="I870" s="171"/>
      <c r="J870" s="171"/>
      <c r="K870" s="171"/>
      <c r="L870" s="171"/>
    </row>
    <row r="871" spans="3:12" ht="15.75" customHeight="1" x14ac:dyDescent="0.2">
      <c r="C871" s="171"/>
      <c r="D871" s="171"/>
      <c r="E871" s="171"/>
      <c r="F871" s="171"/>
      <c r="G871" s="171"/>
      <c r="H871" s="171"/>
      <c r="I871" s="171"/>
      <c r="J871" s="171"/>
      <c r="K871" s="171"/>
      <c r="L871" s="171"/>
    </row>
    <row r="872" spans="3:12" ht="15.75" customHeight="1" x14ac:dyDescent="0.2">
      <c r="C872" s="171"/>
      <c r="D872" s="171"/>
      <c r="E872" s="171"/>
      <c r="F872" s="171"/>
      <c r="G872" s="171"/>
      <c r="H872" s="171"/>
      <c r="I872" s="171"/>
      <c r="J872" s="171"/>
      <c r="K872" s="171"/>
      <c r="L872" s="171"/>
    </row>
    <row r="873" spans="3:12" ht="15.75" customHeight="1" x14ac:dyDescent="0.2">
      <c r="C873" s="171"/>
      <c r="D873" s="171"/>
      <c r="E873" s="171"/>
      <c r="F873" s="171"/>
      <c r="G873" s="171"/>
      <c r="H873" s="171"/>
      <c r="I873" s="171"/>
      <c r="J873" s="171"/>
      <c r="K873" s="171"/>
      <c r="L873" s="171"/>
    </row>
    <row r="874" spans="3:12" ht="15.75" customHeight="1" x14ac:dyDescent="0.2">
      <c r="C874" s="171"/>
      <c r="D874" s="171"/>
      <c r="E874" s="171"/>
      <c r="F874" s="171"/>
      <c r="G874" s="171"/>
      <c r="H874" s="171"/>
      <c r="I874" s="171"/>
      <c r="J874" s="171"/>
      <c r="K874" s="171"/>
      <c r="L874" s="171"/>
    </row>
    <row r="875" spans="3:12" ht="15.75" customHeight="1" x14ac:dyDescent="0.2">
      <c r="C875" s="171"/>
      <c r="D875" s="171"/>
      <c r="E875" s="171"/>
      <c r="F875" s="171"/>
      <c r="G875" s="171"/>
      <c r="H875" s="171"/>
      <c r="I875" s="171"/>
      <c r="J875" s="171"/>
      <c r="K875" s="171"/>
      <c r="L875" s="171"/>
    </row>
    <row r="876" spans="3:12" ht="15.75" customHeight="1" x14ac:dyDescent="0.2">
      <c r="C876" s="171"/>
      <c r="D876" s="171"/>
      <c r="E876" s="171"/>
      <c r="F876" s="171"/>
      <c r="G876" s="171"/>
      <c r="H876" s="171"/>
      <c r="I876" s="171"/>
      <c r="J876" s="171"/>
      <c r="K876" s="171"/>
      <c r="L876" s="171"/>
    </row>
    <row r="877" spans="3:12" ht="15.75" customHeight="1" x14ac:dyDescent="0.2">
      <c r="C877" s="171"/>
      <c r="D877" s="171"/>
      <c r="E877" s="171"/>
      <c r="F877" s="171"/>
      <c r="G877" s="171"/>
      <c r="H877" s="171"/>
      <c r="I877" s="171"/>
      <c r="J877" s="171"/>
      <c r="K877" s="171"/>
      <c r="L877" s="171"/>
    </row>
    <row r="878" spans="3:12" ht="15.75" customHeight="1" x14ac:dyDescent="0.2">
      <c r="C878" s="171"/>
      <c r="D878" s="171"/>
      <c r="E878" s="171"/>
      <c r="F878" s="171"/>
      <c r="G878" s="171"/>
      <c r="H878" s="171"/>
      <c r="I878" s="171"/>
      <c r="J878" s="171"/>
      <c r="K878" s="171"/>
      <c r="L878" s="171"/>
    </row>
    <row r="879" spans="3:12" ht="15.75" customHeight="1" x14ac:dyDescent="0.2">
      <c r="C879" s="171"/>
      <c r="D879" s="171"/>
      <c r="E879" s="171"/>
      <c r="F879" s="171"/>
      <c r="G879" s="171"/>
      <c r="H879" s="171"/>
      <c r="I879" s="171"/>
      <c r="J879" s="171"/>
      <c r="K879" s="171"/>
      <c r="L879" s="171"/>
    </row>
    <row r="880" spans="3:12" ht="15.75" customHeight="1" x14ac:dyDescent="0.2">
      <c r="C880" s="171"/>
      <c r="D880" s="171"/>
      <c r="E880" s="171"/>
      <c r="F880" s="171"/>
      <c r="G880" s="171"/>
      <c r="H880" s="171"/>
      <c r="I880" s="171"/>
      <c r="J880" s="171"/>
      <c r="K880" s="171"/>
      <c r="L880" s="171"/>
    </row>
    <row r="881" spans="3:12" ht="15.75" customHeight="1" x14ac:dyDescent="0.2">
      <c r="C881" s="171"/>
      <c r="D881" s="171"/>
      <c r="E881" s="171"/>
      <c r="F881" s="171"/>
      <c r="G881" s="171"/>
      <c r="H881" s="171"/>
      <c r="I881" s="171"/>
      <c r="J881" s="171"/>
      <c r="K881" s="171"/>
      <c r="L881" s="171"/>
    </row>
    <row r="882" spans="3:12" ht="15.75" customHeight="1" x14ac:dyDescent="0.2">
      <c r="C882" s="171"/>
      <c r="D882" s="171"/>
      <c r="E882" s="171"/>
      <c r="F882" s="171"/>
      <c r="G882" s="171"/>
      <c r="H882" s="171"/>
      <c r="I882" s="171"/>
      <c r="J882" s="171"/>
      <c r="K882" s="171"/>
      <c r="L882" s="171"/>
    </row>
    <row r="883" spans="3:12" ht="15.75" customHeight="1" x14ac:dyDescent="0.2">
      <c r="C883" s="171"/>
      <c r="D883" s="171"/>
      <c r="E883" s="171"/>
      <c r="F883" s="171"/>
      <c r="G883" s="171"/>
      <c r="H883" s="171"/>
      <c r="I883" s="171"/>
      <c r="J883" s="171"/>
      <c r="K883" s="171"/>
      <c r="L883" s="171"/>
    </row>
    <row r="884" spans="3:12" ht="15.75" customHeight="1" x14ac:dyDescent="0.2">
      <c r="C884" s="171"/>
      <c r="D884" s="171"/>
      <c r="E884" s="171"/>
      <c r="F884" s="171"/>
      <c r="G884" s="171"/>
      <c r="H884" s="171"/>
      <c r="I884" s="171"/>
      <c r="J884" s="171"/>
      <c r="K884" s="171"/>
      <c r="L884" s="171"/>
    </row>
    <row r="885" spans="3:12" ht="15.75" customHeight="1" x14ac:dyDescent="0.2">
      <c r="C885" s="171"/>
      <c r="D885" s="171"/>
      <c r="E885" s="171"/>
      <c r="F885" s="171"/>
      <c r="G885" s="171"/>
      <c r="H885" s="171"/>
      <c r="I885" s="171"/>
      <c r="J885" s="171"/>
      <c r="K885" s="171"/>
      <c r="L885" s="171"/>
    </row>
    <row r="886" spans="3:12" ht="15.75" customHeight="1" x14ac:dyDescent="0.2">
      <c r="C886" s="171"/>
      <c r="D886" s="171"/>
      <c r="E886" s="171"/>
      <c r="F886" s="171"/>
      <c r="G886" s="171"/>
      <c r="H886" s="171"/>
      <c r="I886" s="171"/>
      <c r="J886" s="171"/>
      <c r="K886" s="171"/>
      <c r="L886" s="171"/>
    </row>
    <row r="887" spans="3:12" ht="15.75" customHeight="1" x14ac:dyDescent="0.2">
      <c r="C887" s="171"/>
      <c r="D887" s="171"/>
      <c r="E887" s="171"/>
      <c r="F887" s="171"/>
      <c r="G887" s="171"/>
      <c r="H887" s="171"/>
      <c r="I887" s="171"/>
      <c r="J887" s="171"/>
      <c r="K887" s="171"/>
      <c r="L887" s="171"/>
    </row>
    <row r="888" spans="3:12" ht="15.75" customHeight="1" x14ac:dyDescent="0.2">
      <c r="C888" s="171"/>
      <c r="D888" s="171"/>
      <c r="E888" s="171"/>
      <c r="F888" s="171"/>
      <c r="G888" s="171"/>
      <c r="H888" s="171"/>
      <c r="I888" s="171"/>
      <c r="J888" s="171"/>
      <c r="K888" s="171"/>
      <c r="L888" s="171"/>
    </row>
    <row r="889" spans="3:12" ht="15.75" customHeight="1" x14ac:dyDescent="0.2">
      <c r="C889" s="171"/>
      <c r="D889" s="171"/>
      <c r="E889" s="171"/>
      <c r="F889" s="171"/>
      <c r="G889" s="171"/>
      <c r="H889" s="171"/>
      <c r="I889" s="171"/>
      <c r="J889" s="171"/>
      <c r="K889" s="171"/>
      <c r="L889" s="171"/>
    </row>
    <row r="890" spans="3:12" ht="15.75" customHeight="1" x14ac:dyDescent="0.2">
      <c r="C890" s="171"/>
      <c r="D890" s="171"/>
      <c r="E890" s="171"/>
      <c r="F890" s="171"/>
      <c r="G890" s="171"/>
      <c r="H890" s="171"/>
      <c r="I890" s="171"/>
      <c r="J890" s="171"/>
      <c r="K890" s="171"/>
      <c r="L890" s="171"/>
    </row>
    <row r="891" spans="3:12" ht="15.75" customHeight="1" x14ac:dyDescent="0.2">
      <c r="C891" s="171"/>
      <c r="D891" s="171"/>
      <c r="E891" s="171"/>
      <c r="F891" s="171"/>
      <c r="G891" s="171"/>
      <c r="H891" s="171"/>
      <c r="I891" s="171"/>
      <c r="J891" s="171"/>
      <c r="K891" s="171"/>
      <c r="L891" s="171"/>
    </row>
    <row r="892" spans="3:12" ht="15.75" customHeight="1" x14ac:dyDescent="0.2">
      <c r="C892" s="171"/>
      <c r="D892" s="171"/>
      <c r="E892" s="171"/>
      <c r="F892" s="171"/>
      <c r="G892" s="171"/>
      <c r="H892" s="171"/>
      <c r="I892" s="171"/>
      <c r="J892" s="171"/>
      <c r="K892" s="171"/>
      <c r="L892" s="171"/>
    </row>
    <row r="893" spans="3:12" ht="15.75" customHeight="1" x14ac:dyDescent="0.2">
      <c r="C893" s="171"/>
      <c r="D893" s="171"/>
      <c r="E893" s="171"/>
      <c r="F893" s="171"/>
      <c r="G893" s="171"/>
      <c r="H893" s="171"/>
      <c r="I893" s="171"/>
      <c r="J893" s="171"/>
      <c r="K893" s="171"/>
      <c r="L893" s="171"/>
    </row>
    <row r="894" spans="3:12" ht="15.75" customHeight="1" x14ac:dyDescent="0.2">
      <c r="C894" s="171"/>
      <c r="D894" s="171"/>
      <c r="E894" s="171"/>
      <c r="F894" s="171"/>
      <c r="G894" s="171"/>
      <c r="H894" s="171"/>
      <c r="I894" s="171"/>
      <c r="J894" s="171"/>
      <c r="K894" s="171"/>
      <c r="L894" s="171"/>
    </row>
    <row r="895" spans="3:12" ht="15.75" customHeight="1" x14ac:dyDescent="0.2">
      <c r="C895" s="171"/>
      <c r="D895" s="171"/>
      <c r="E895" s="171"/>
      <c r="F895" s="171"/>
      <c r="G895" s="171"/>
      <c r="H895" s="171"/>
      <c r="I895" s="171"/>
      <c r="J895" s="171"/>
      <c r="K895" s="171"/>
      <c r="L895" s="171"/>
    </row>
    <row r="896" spans="3:12" ht="15.75" customHeight="1" x14ac:dyDescent="0.2">
      <c r="C896" s="171"/>
      <c r="D896" s="171"/>
      <c r="E896" s="171"/>
      <c r="F896" s="171"/>
      <c r="G896" s="171"/>
      <c r="H896" s="171"/>
      <c r="I896" s="171"/>
      <c r="J896" s="171"/>
      <c r="K896" s="171"/>
      <c r="L896" s="171"/>
    </row>
    <row r="897" spans="3:12" ht="15.75" customHeight="1" x14ac:dyDescent="0.2">
      <c r="C897" s="171"/>
      <c r="D897" s="171"/>
      <c r="E897" s="171"/>
      <c r="F897" s="171"/>
      <c r="G897" s="171"/>
      <c r="H897" s="171"/>
      <c r="I897" s="171"/>
      <c r="J897" s="171"/>
      <c r="K897" s="171"/>
      <c r="L897" s="171"/>
    </row>
    <row r="898" spans="3:12" ht="15.75" customHeight="1" x14ac:dyDescent="0.2">
      <c r="C898" s="171"/>
      <c r="D898" s="171"/>
      <c r="E898" s="171"/>
      <c r="F898" s="171"/>
      <c r="G898" s="171"/>
      <c r="H898" s="171"/>
      <c r="I898" s="171"/>
      <c r="J898" s="171"/>
      <c r="K898" s="171"/>
      <c r="L898" s="171"/>
    </row>
    <row r="899" spans="3:12" ht="15.75" customHeight="1" x14ac:dyDescent="0.2">
      <c r="C899" s="171"/>
      <c r="D899" s="171"/>
      <c r="E899" s="171"/>
      <c r="F899" s="171"/>
      <c r="G899" s="171"/>
      <c r="H899" s="171"/>
      <c r="I899" s="171"/>
      <c r="J899" s="171"/>
      <c r="K899" s="171"/>
      <c r="L899" s="171"/>
    </row>
    <row r="900" spans="3:12" ht="15.75" customHeight="1" x14ac:dyDescent="0.2">
      <c r="C900" s="171"/>
      <c r="D900" s="171"/>
      <c r="E900" s="171"/>
      <c r="F900" s="171"/>
      <c r="G900" s="171"/>
      <c r="H900" s="171"/>
      <c r="I900" s="171"/>
      <c r="J900" s="171"/>
      <c r="K900" s="171"/>
      <c r="L900" s="171"/>
    </row>
    <row r="901" spans="3:12" ht="15.75" customHeight="1" x14ac:dyDescent="0.2">
      <c r="C901" s="171"/>
      <c r="D901" s="171"/>
      <c r="E901" s="171"/>
      <c r="F901" s="171"/>
      <c r="G901" s="171"/>
      <c r="H901" s="171"/>
      <c r="I901" s="171"/>
      <c r="J901" s="171"/>
      <c r="K901" s="171"/>
      <c r="L901" s="171"/>
    </row>
    <row r="902" spans="3:12" ht="15.75" customHeight="1" x14ac:dyDescent="0.2">
      <c r="C902" s="171"/>
      <c r="D902" s="171"/>
      <c r="E902" s="171"/>
      <c r="F902" s="171"/>
      <c r="G902" s="171"/>
      <c r="H902" s="171"/>
      <c r="I902" s="171"/>
      <c r="J902" s="171"/>
      <c r="K902" s="171"/>
      <c r="L902" s="171"/>
    </row>
    <row r="903" spans="3:12" ht="15.75" customHeight="1" x14ac:dyDescent="0.2">
      <c r="C903" s="171"/>
      <c r="D903" s="171"/>
      <c r="E903" s="171"/>
      <c r="F903" s="171"/>
      <c r="G903" s="171"/>
      <c r="H903" s="171"/>
      <c r="I903" s="171"/>
      <c r="J903" s="171"/>
      <c r="K903" s="171"/>
      <c r="L903" s="171"/>
    </row>
    <row r="904" spans="3:12" ht="15.75" customHeight="1" x14ac:dyDescent="0.2">
      <c r="C904" s="171"/>
      <c r="D904" s="171"/>
      <c r="E904" s="171"/>
      <c r="F904" s="171"/>
      <c r="G904" s="171"/>
      <c r="H904" s="171"/>
      <c r="I904" s="171"/>
      <c r="J904" s="171"/>
      <c r="K904" s="171"/>
      <c r="L904" s="171"/>
    </row>
    <row r="905" spans="3:12" ht="15.75" customHeight="1" x14ac:dyDescent="0.2">
      <c r="C905" s="171"/>
      <c r="D905" s="171"/>
      <c r="E905" s="171"/>
      <c r="F905" s="171"/>
      <c r="G905" s="171"/>
      <c r="H905" s="171"/>
      <c r="I905" s="171"/>
      <c r="J905" s="171"/>
      <c r="K905" s="171"/>
      <c r="L905" s="171"/>
    </row>
    <row r="906" spans="3:12" ht="15.75" customHeight="1" x14ac:dyDescent="0.2">
      <c r="C906" s="171"/>
      <c r="D906" s="171"/>
      <c r="E906" s="171"/>
      <c r="F906" s="171"/>
      <c r="G906" s="171"/>
      <c r="H906" s="171"/>
      <c r="I906" s="171"/>
      <c r="J906" s="171"/>
      <c r="K906" s="171"/>
      <c r="L906" s="171"/>
    </row>
    <row r="907" spans="3:12" ht="15.75" customHeight="1" x14ac:dyDescent="0.2">
      <c r="C907" s="171"/>
      <c r="D907" s="171"/>
      <c r="E907" s="171"/>
      <c r="F907" s="171"/>
      <c r="G907" s="171"/>
      <c r="H907" s="171"/>
      <c r="I907" s="171"/>
      <c r="J907" s="171"/>
      <c r="K907" s="171"/>
      <c r="L907" s="171"/>
    </row>
    <row r="908" spans="3:12" ht="15.75" customHeight="1" x14ac:dyDescent="0.2">
      <c r="C908" s="171"/>
      <c r="D908" s="171"/>
      <c r="E908" s="171"/>
      <c r="F908" s="171"/>
      <c r="G908" s="171"/>
      <c r="H908" s="171"/>
      <c r="I908" s="171"/>
      <c r="J908" s="171"/>
      <c r="K908" s="171"/>
      <c r="L908" s="171"/>
    </row>
    <row r="909" spans="3:12" ht="15.75" customHeight="1" x14ac:dyDescent="0.2">
      <c r="C909" s="171"/>
      <c r="D909" s="171"/>
      <c r="E909" s="171"/>
      <c r="F909" s="171"/>
      <c r="G909" s="171"/>
      <c r="H909" s="171"/>
      <c r="I909" s="171"/>
      <c r="J909" s="171"/>
      <c r="K909" s="171"/>
      <c r="L909" s="171"/>
    </row>
    <row r="910" spans="3:12" ht="15.75" customHeight="1" x14ac:dyDescent="0.2">
      <c r="C910" s="171"/>
      <c r="D910" s="171"/>
      <c r="E910" s="171"/>
      <c r="F910" s="171"/>
      <c r="G910" s="171"/>
      <c r="H910" s="171"/>
      <c r="I910" s="171"/>
      <c r="J910" s="171"/>
      <c r="K910" s="171"/>
      <c r="L910" s="171"/>
    </row>
    <row r="911" spans="3:12" ht="15.75" customHeight="1" x14ac:dyDescent="0.2">
      <c r="C911" s="171"/>
      <c r="D911" s="171"/>
      <c r="E911" s="171"/>
      <c r="F911" s="171"/>
      <c r="G911" s="171"/>
      <c r="H911" s="171"/>
      <c r="I911" s="171"/>
      <c r="J911" s="171"/>
      <c r="K911" s="171"/>
      <c r="L911" s="171"/>
    </row>
    <row r="912" spans="3:12" ht="15.75" customHeight="1" x14ac:dyDescent="0.2">
      <c r="C912" s="171"/>
      <c r="D912" s="171"/>
      <c r="E912" s="171"/>
      <c r="F912" s="171"/>
      <c r="G912" s="171"/>
      <c r="H912" s="171"/>
      <c r="I912" s="171"/>
      <c r="J912" s="171"/>
      <c r="K912" s="171"/>
      <c r="L912" s="171"/>
    </row>
    <row r="913" spans="3:12" ht="15.75" customHeight="1" x14ac:dyDescent="0.2">
      <c r="C913" s="171"/>
      <c r="D913" s="171"/>
      <c r="E913" s="171"/>
      <c r="F913" s="171"/>
      <c r="G913" s="171"/>
      <c r="H913" s="171"/>
      <c r="I913" s="171"/>
      <c r="J913" s="171"/>
      <c r="K913" s="171"/>
      <c r="L913" s="171"/>
    </row>
    <row r="914" spans="3:12" ht="15.75" customHeight="1" x14ac:dyDescent="0.2">
      <c r="C914" s="171"/>
      <c r="D914" s="171"/>
      <c r="E914" s="171"/>
      <c r="F914" s="171"/>
      <c r="G914" s="171"/>
      <c r="H914" s="171"/>
      <c r="I914" s="171"/>
      <c r="J914" s="171"/>
      <c r="K914" s="171"/>
      <c r="L914" s="171"/>
    </row>
    <row r="915" spans="3:12" ht="15.75" customHeight="1" x14ac:dyDescent="0.2">
      <c r="C915" s="171"/>
      <c r="D915" s="171"/>
      <c r="E915" s="171"/>
      <c r="F915" s="171"/>
      <c r="G915" s="171"/>
      <c r="H915" s="171"/>
      <c r="I915" s="171"/>
      <c r="J915" s="171"/>
      <c r="K915" s="171"/>
      <c r="L915" s="171"/>
    </row>
    <row r="916" spans="3:12" ht="15.75" customHeight="1" x14ac:dyDescent="0.2">
      <c r="C916" s="171"/>
      <c r="D916" s="171"/>
      <c r="E916" s="171"/>
      <c r="F916" s="171"/>
      <c r="G916" s="171"/>
      <c r="H916" s="171"/>
      <c r="I916" s="171"/>
      <c r="J916" s="171"/>
      <c r="K916" s="171"/>
      <c r="L916" s="171"/>
    </row>
    <row r="917" spans="3:12" ht="15.75" customHeight="1" x14ac:dyDescent="0.2">
      <c r="C917" s="171"/>
      <c r="D917" s="171"/>
      <c r="E917" s="171"/>
      <c r="F917" s="171"/>
      <c r="G917" s="171"/>
      <c r="H917" s="171"/>
      <c r="I917" s="171"/>
      <c r="J917" s="171"/>
      <c r="K917" s="171"/>
      <c r="L917" s="171"/>
    </row>
    <row r="918" spans="3:12" ht="15.75" customHeight="1" x14ac:dyDescent="0.2">
      <c r="C918" s="171"/>
      <c r="D918" s="171"/>
      <c r="E918" s="171"/>
      <c r="F918" s="171"/>
      <c r="G918" s="171"/>
      <c r="H918" s="171"/>
      <c r="I918" s="171"/>
      <c r="J918" s="171"/>
      <c r="K918" s="171"/>
      <c r="L918" s="171"/>
    </row>
    <row r="919" spans="3:12" ht="15.75" customHeight="1" x14ac:dyDescent="0.2">
      <c r="C919" s="171"/>
      <c r="D919" s="171"/>
      <c r="E919" s="171"/>
      <c r="F919" s="171"/>
      <c r="G919" s="171"/>
      <c r="H919" s="171"/>
      <c r="I919" s="171"/>
      <c r="J919" s="171"/>
      <c r="K919" s="171"/>
      <c r="L919" s="171"/>
    </row>
    <row r="920" spans="3:12" ht="15.75" customHeight="1" x14ac:dyDescent="0.2">
      <c r="C920" s="171"/>
      <c r="D920" s="171"/>
      <c r="E920" s="171"/>
      <c r="F920" s="171"/>
      <c r="G920" s="171"/>
      <c r="H920" s="171"/>
      <c r="I920" s="171"/>
      <c r="J920" s="171"/>
      <c r="K920" s="171"/>
      <c r="L920" s="171"/>
    </row>
    <row r="921" spans="3:12" ht="15.75" customHeight="1" x14ac:dyDescent="0.2">
      <c r="C921" s="171"/>
      <c r="D921" s="171"/>
      <c r="E921" s="171"/>
      <c r="F921" s="171"/>
      <c r="G921" s="171"/>
      <c r="H921" s="171"/>
      <c r="I921" s="171"/>
      <c r="J921" s="171"/>
      <c r="K921" s="171"/>
      <c r="L921" s="171"/>
    </row>
    <row r="922" spans="3:12" ht="15.75" customHeight="1" x14ac:dyDescent="0.2">
      <c r="C922" s="171"/>
      <c r="D922" s="171"/>
      <c r="E922" s="171"/>
      <c r="F922" s="171"/>
      <c r="G922" s="171"/>
      <c r="H922" s="171"/>
      <c r="I922" s="171"/>
      <c r="J922" s="171"/>
      <c r="K922" s="171"/>
      <c r="L922" s="171"/>
    </row>
    <row r="923" spans="3:12" ht="15.75" customHeight="1" x14ac:dyDescent="0.2">
      <c r="C923" s="171"/>
      <c r="D923" s="171"/>
      <c r="E923" s="171"/>
      <c r="F923" s="171"/>
      <c r="G923" s="171"/>
      <c r="H923" s="171"/>
      <c r="I923" s="171"/>
      <c r="J923" s="171"/>
      <c r="K923" s="171"/>
      <c r="L923" s="171"/>
    </row>
    <row r="924" spans="3:12" ht="15.75" customHeight="1" x14ac:dyDescent="0.2">
      <c r="C924" s="171"/>
      <c r="D924" s="171"/>
      <c r="E924" s="171"/>
      <c r="F924" s="171"/>
      <c r="G924" s="171"/>
      <c r="H924" s="171"/>
      <c r="I924" s="171"/>
      <c r="J924" s="171"/>
      <c r="K924" s="171"/>
      <c r="L924" s="171"/>
    </row>
    <row r="925" spans="3:12" ht="15.75" customHeight="1" x14ac:dyDescent="0.2">
      <c r="C925" s="171"/>
      <c r="D925" s="171"/>
      <c r="E925" s="171"/>
      <c r="F925" s="171"/>
      <c r="G925" s="171"/>
      <c r="H925" s="171"/>
      <c r="I925" s="171"/>
      <c r="J925" s="171"/>
      <c r="K925" s="171"/>
      <c r="L925" s="171"/>
    </row>
    <row r="926" spans="3:12" ht="15.75" customHeight="1" x14ac:dyDescent="0.2">
      <c r="C926" s="171"/>
      <c r="D926" s="171"/>
      <c r="E926" s="171"/>
      <c r="F926" s="171"/>
      <c r="G926" s="171"/>
      <c r="H926" s="171"/>
      <c r="I926" s="171"/>
      <c r="J926" s="171"/>
      <c r="K926" s="171"/>
      <c r="L926" s="171"/>
    </row>
    <row r="927" spans="3:12" ht="15.75" customHeight="1" x14ac:dyDescent="0.2">
      <c r="C927" s="171"/>
      <c r="D927" s="171"/>
      <c r="E927" s="171"/>
      <c r="F927" s="171"/>
      <c r="G927" s="171"/>
      <c r="H927" s="171"/>
      <c r="I927" s="171"/>
      <c r="J927" s="171"/>
      <c r="K927" s="171"/>
      <c r="L927" s="171"/>
    </row>
    <row r="928" spans="3:12" ht="15.75" customHeight="1" x14ac:dyDescent="0.2">
      <c r="C928" s="171"/>
      <c r="D928" s="171"/>
      <c r="E928" s="171"/>
      <c r="F928" s="171"/>
      <c r="G928" s="171"/>
      <c r="H928" s="171"/>
      <c r="I928" s="171"/>
      <c r="J928" s="171"/>
      <c r="K928" s="171"/>
      <c r="L928" s="171"/>
    </row>
    <row r="929" spans="3:12" ht="15.75" customHeight="1" x14ac:dyDescent="0.2">
      <c r="C929" s="171"/>
      <c r="D929" s="171"/>
      <c r="E929" s="171"/>
      <c r="F929" s="171"/>
      <c r="G929" s="171"/>
      <c r="H929" s="171"/>
      <c r="I929" s="171"/>
      <c r="J929" s="171"/>
      <c r="K929" s="171"/>
      <c r="L929" s="171"/>
    </row>
    <row r="930" spans="3:12" ht="15.75" customHeight="1" x14ac:dyDescent="0.2">
      <c r="C930" s="171"/>
      <c r="D930" s="171"/>
      <c r="E930" s="171"/>
      <c r="F930" s="171"/>
      <c r="G930" s="171"/>
      <c r="H930" s="171"/>
      <c r="I930" s="171"/>
      <c r="J930" s="171"/>
      <c r="K930" s="171"/>
      <c r="L930" s="171"/>
    </row>
    <row r="931" spans="3:12" ht="15.75" customHeight="1" x14ac:dyDescent="0.2">
      <c r="C931" s="171"/>
      <c r="D931" s="171"/>
      <c r="E931" s="171"/>
      <c r="F931" s="171"/>
      <c r="G931" s="171"/>
      <c r="H931" s="171"/>
      <c r="I931" s="171"/>
      <c r="J931" s="171"/>
      <c r="K931" s="171"/>
      <c r="L931" s="171"/>
    </row>
    <row r="932" spans="3:12" ht="15.75" customHeight="1" x14ac:dyDescent="0.2">
      <c r="C932" s="171"/>
      <c r="D932" s="171"/>
      <c r="E932" s="171"/>
      <c r="F932" s="171"/>
      <c r="G932" s="171"/>
      <c r="H932" s="171"/>
      <c r="I932" s="171"/>
      <c r="J932" s="171"/>
      <c r="K932" s="171"/>
      <c r="L932" s="171"/>
    </row>
    <row r="933" spans="3:12" ht="15.75" customHeight="1" x14ac:dyDescent="0.2">
      <c r="C933" s="171"/>
      <c r="D933" s="171"/>
      <c r="E933" s="171"/>
      <c r="F933" s="171"/>
      <c r="G933" s="171"/>
      <c r="H933" s="171"/>
      <c r="I933" s="171"/>
      <c r="J933" s="171"/>
      <c r="K933" s="171"/>
      <c r="L933" s="171"/>
    </row>
    <row r="934" spans="3:12" ht="15.75" customHeight="1" x14ac:dyDescent="0.2">
      <c r="C934" s="171"/>
      <c r="D934" s="171"/>
      <c r="E934" s="171"/>
      <c r="F934" s="171"/>
      <c r="G934" s="171"/>
      <c r="H934" s="171"/>
      <c r="I934" s="171"/>
      <c r="J934" s="171"/>
      <c r="K934" s="171"/>
      <c r="L934" s="171"/>
    </row>
    <row r="935" spans="3:12" ht="15.75" customHeight="1" x14ac:dyDescent="0.2">
      <c r="C935" s="171"/>
      <c r="D935" s="171"/>
      <c r="E935" s="171"/>
      <c r="F935" s="171"/>
      <c r="G935" s="171"/>
      <c r="H935" s="171"/>
      <c r="I935" s="171"/>
      <c r="J935" s="171"/>
      <c r="K935" s="171"/>
      <c r="L935" s="171"/>
    </row>
    <row r="936" spans="3:12" ht="15.75" customHeight="1" x14ac:dyDescent="0.2">
      <c r="C936" s="171"/>
      <c r="D936" s="171"/>
      <c r="E936" s="171"/>
      <c r="F936" s="171"/>
      <c r="G936" s="171"/>
      <c r="H936" s="171"/>
      <c r="I936" s="171"/>
      <c r="J936" s="171"/>
      <c r="K936" s="171"/>
      <c r="L936" s="171"/>
    </row>
    <row r="937" spans="3:12" ht="15.75" customHeight="1" x14ac:dyDescent="0.2">
      <c r="C937" s="171"/>
      <c r="D937" s="171"/>
      <c r="E937" s="171"/>
      <c r="F937" s="171"/>
      <c r="G937" s="171"/>
      <c r="H937" s="171"/>
      <c r="I937" s="171"/>
      <c r="J937" s="171"/>
      <c r="K937" s="171"/>
      <c r="L937" s="171"/>
    </row>
    <row r="938" spans="3:12" ht="15.75" customHeight="1" x14ac:dyDescent="0.2">
      <c r="C938" s="171"/>
      <c r="D938" s="171"/>
      <c r="E938" s="171"/>
      <c r="F938" s="171"/>
      <c r="G938" s="171"/>
      <c r="H938" s="171"/>
      <c r="I938" s="171"/>
      <c r="J938" s="171"/>
      <c r="K938" s="171"/>
      <c r="L938" s="171"/>
    </row>
    <row r="939" spans="3:12" ht="15.75" customHeight="1" x14ac:dyDescent="0.2">
      <c r="C939" s="171"/>
      <c r="D939" s="171"/>
      <c r="E939" s="171"/>
      <c r="F939" s="171"/>
      <c r="G939" s="171"/>
      <c r="H939" s="171"/>
      <c r="I939" s="171"/>
      <c r="J939" s="171"/>
      <c r="K939" s="171"/>
      <c r="L939" s="171"/>
    </row>
    <row r="940" spans="3:12" ht="15.75" customHeight="1" x14ac:dyDescent="0.2">
      <c r="C940" s="171"/>
      <c r="D940" s="171"/>
      <c r="E940" s="171"/>
      <c r="F940" s="171"/>
      <c r="G940" s="171"/>
      <c r="H940" s="171"/>
      <c r="I940" s="171"/>
      <c r="J940" s="171"/>
      <c r="K940" s="171"/>
      <c r="L940" s="171"/>
    </row>
    <row r="941" spans="3:12" ht="15.75" customHeight="1" x14ac:dyDescent="0.2">
      <c r="C941" s="171"/>
      <c r="D941" s="171"/>
      <c r="E941" s="171"/>
      <c r="F941" s="171"/>
      <c r="G941" s="171"/>
      <c r="H941" s="171"/>
      <c r="I941" s="171"/>
      <c r="J941" s="171"/>
      <c r="K941" s="171"/>
      <c r="L941" s="171"/>
    </row>
    <row r="942" spans="3:12" ht="15.75" customHeight="1" x14ac:dyDescent="0.2">
      <c r="C942" s="171"/>
      <c r="D942" s="171"/>
      <c r="E942" s="171"/>
      <c r="F942" s="171"/>
      <c r="G942" s="171"/>
      <c r="H942" s="171"/>
      <c r="I942" s="171"/>
      <c r="J942" s="171"/>
      <c r="K942" s="171"/>
      <c r="L942" s="171"/>
    </row>
    <row r="943" spans="3:12" ht="15.75" customHeight="1" x14ac:dyDescent="0.2">
      <c r="C943" s="171"/>
      <c r="D943" s="171"/>
      <c r="E943" s="171"/>
      <c r="F943" s="171"/>
      <c r="G943" s="171"/>
      <c r="H943" s="171"/>
      <c r="I943" s="171"/>
      <c r="J943" s="171"/>
      <c r="K943" s="171"/>
      <c r="L943" s="171"/>
    </row>
    <row r="944" spans="3:12" ht="15.75" customHeight="1" x14ac:dyDescent="0.2">
      <c r="C944" s="171"/>
      <c r="D944" s="171"/>
      <c r="E944" s="171"/>
      <c r="F944" s="171"/>
      <c r="G944" s="171"/>
      <c r="H944" s="171"/>
      <c r="I944" s="171"/>
      <c r="J944" s="171"/>
      <c r="K944" s="171"/>
      <c r="L944" s="171"/>
    </row>
    <row r="945" spans="3:12" ht="15.75" customHeight="1" x14ac:dyDescent="0.2">
      <c r="C945" s="171"/>
      <c r="D945" s="171"/>
      <c r="E945" s="171"/>
      <c r="F945" s="171"/>
      <c r="G945" s="171"/>
      <c r="H945" s="171"/>
      <c r="I945" s="171"/>
      <c r="J945" s="171"/>
      <c r="K945" s="171"/>
      <c r="L945" s="171"/>
    </row>
    <row r="946" spans="3:12" ht="15.75" customHeight="1" x14ac:dyDescent="0.2">
      <c r="C946" s="171"/>
      <c r="D946" s="171"/>
      <c r="E946" s="171"/>
      <c r="F946" s="171"/>
      <c r="G946" s="171"/>
      <c r="H946" s="171"/>
      <c r="I946" s="171"/>
      <c r="J946" s="171"/>
      <c r="K946" s="171"/>
      <c r="L946" s="171"/>
    </row>
    <row r="947" spans="3:12" ht="15.75" customHeight="1" x14ac:dyDescent="0.2">
      <c r="C947" s="171"/>
      <c r="D947" s="171"/>
      <c r="E947" s="171"/>
      <c r="F947" s="171"/>
      <c r="G947" s="171"/>
      <c r="H947" s="171"/>
      <c r="I947" s="171"/>
      <c r="J947" s="171"/>
      <c r="K947" s="171"/>
      <c r="L947" s="171"/>
    </row>
    <row r="948" spans="3:12" ht="15.75" customHeight="1" x14ac:dyDescent="0.2">
      <c r="C948" s="171"/>
      <c r="D948" s="171"/>
      <c r="E948" s="171"/>
      <c r="F948" s="171"/>
      <c r="G948" s="171"/>
      <c r="H948" s="171"/>
      <c r="I948" s="171"/>
      <c r="J948" s="171"/>
      <c r="K948" s="171"/>
      <c r="L948" s="171"/>
    </row>
    <row r="949" spans="3:12" ht="15.75" customHeight="1" x14ac:dyDescent="0.2">
      <c r="C949" s="171"/>
      <c r="D949" s="171"/>
      <c r="E949" s="171"/>
      <c r="F949" s="171"/>
      <c r="G949" s="171"/>
      <c r="H949" s="171"/>
      <c r="I949" s="171"/>
      <c r="J949" s="171"/>
      <c r="K949" s="171"/>
      <c r="L949" s="171"/>
    </row>
    <row r="950" spans="3:12" ht="15.75" customHeight="1" x14ac:dyDescent="0.2">
      <c r="C950" s="171"/>
      <c r="D950" s="171"/>
      <c r="E950" s="171"/>
      <c r="F950" s="171"/>
      <c r="G950" s="171"/>
      <c r="H950" s="171"/>
      <c r="I950" s="171"/>
      <c r="J950" s="171"/>
      <c r="K950" s="171"/>
      <c r="L950" s="171"/>
    </row>
    <row r="951" spans="3:12" ht="15.75" customHeight="1" x14ac:dyDescent="0.2">
      <c r="C951" s="171"/>
      <c r="D951" s="171"/>
      <c r="E951" s="171"/>
      <c r="F951" s="171"/>
      <c r="G951" s="171"/>
      <c r="H951" s="171"/>
      <c r="I951" s="171"/>
      <c r="J951" s="171"/>
      <c r="K951" s="171"/>
      <c r="L951" s="171"/>
    </row>
    <row r="952" spans="3:12" ht="15.75" customHeight="1" x14ac:dyDescent="0.2">
      <c r="C952" s="171"/>
      <c r="D952" s="171"/>
      <c r="E952" s="171"/>
      <c r="F952" s="171"/>
      <c r="G952" s="171"/>
      <c r="H952" s="171"/>
      <c r="I952" s="171"/>
      <c r="J952" s="171"/>
      <c r="K952" s="171"/>
      <c r="L952" s="171"/>
    </row>
    <row r="953" spans="3:12" ht="15.75" customHeight="1" x14ac:dyDescent="0.2">
      <c r="C953" s="171"/>
      <c r="D953" s="171"/>
      <c r="E953" s="171"/>
      <c r="F953" s="171"/>
      <c r="G953" s="171"/>
      <c r="H953" s="171"/>
      <c r="I953" s="171"/>
      <c r="J953" s="171"/>
      <c r="K953" s="171"/>
      <c r="L953" s="171"/>
    </row>
    <row r="954" spans="3:12" ht="15.75" customHeight="1" x14ac:dyDescent="0.2">
      <c r="C954" s="171"/>
      <c r="D954" s="171"/>
      <c r="E954" s="171"/>
      <c r="F954" s="171"/>
      <c r="G954" s="171"/>
      <c r="H954" s="171"/>
      <c r="I954" s="171"/>
      <c r="J954" s="171"/>
      <c r="K954" s="171"/>
      <c r="L954" s="171"/>
    </row>
    <row r="955" spans="3:12" ht="15.75" customHeight="1" x14ac:dyDescent="0.2">
      <c r="C955" s="171"/>
      <c r="D955" s="171"/>
      <c r="E955" s="171"/>
      <c r="F955" s="171"/>
      <c r="G955" s="171"/>
      <c r="H955" s="171"/>
      <c r="I955" s="171"/>
      <c r="J955" s="171"/>
      <c r="K955" s="171"/>
      <c r="L955" s="171"/>
    </row>
    <row r="956" spans="3:12" ht="15.75" customHeight="1" x14ac:dyDescent="0.2">
      <c r="C956" s="171"/>
      <c r="D956" s="171"/>
      <c r="E956" s="171"/>
      <c r="F956" s="171"/>
      <c r="G956" s="171"/>
      <c r="H956" s="171"/>
      <c r="I956" s="171"/>
      <c r="J956" s="171"/>
      <c r="K956" s="171"/>
      <c r="L956" s="171"/>
    </row>
    <row r="957" spans="3:12" ht="15.75" customHeight="1" x14ac:dyDescent="0.2">
      <c r="C957" s="171"/>
      <c r="D957" s="171"/>
      <c r="E957" s="171"/>
      <c r="F957" s="171"/>
      <c r="G957" s="171"/>
      <c r="H957" s="171"/>
      <c r="I957" s="171"/>
      <c r="J957" s="171"/>
      <c r="K957" s="171"/>
      <c r="L957" s="171"/>
    </row>
    <row r="958" spans="3:12" ht="15.75" customHeight="1" x14ac:dyDescent="0.2">
      <c r="C958" s="171"/>
      <c r="D958" s="171"/>
      <c r="E958" s="171"/>
      <c r="F958" s="171"/>
      <c r="G958" s="171"/>
      <c r="H958" s="171"/>
      <c r="I958" s="171"/>
      <c r="J958" s="171"/>
      <c r="K958" s="171"/>
      <c r="L958" s="171"/>
    </row>
    <row r="959" spans="3:12" ht="15.75" customHeight="1" x14ac:dyDescent="0.2">
      <c r="C959" s="171"/>
      <c r="D959" s="171"/>
      <c r="E959" s="171"/>
      <c r="F959" s="171"/>
      <c r="G959" s="171"/>
      <c r="H959" s="171"/>
      <c r="I959" s="171"/>
      <c r="J959" s="171"/>
      <c r="K959" s="171"/>
      <c r="L959" s="171"/>
    </row>
    <row r="960" spans="3:12" ht="15.75" customHeight="1" x14ac:dyDescent="0.2">
      <c r="C960" s="171"/>
      <c r="D960" s="171"/>
      <c r="E960" s="171"/>
      <c r="F960" s="171"/>
      <c r="G960" s="171"/>
      <c r="H960" s="171"/>
      <c r="I960" s="171"/>
      <c r="J960" s="171"/>
      <c r="K960" s="171"/>
      <c r="L960" s="171"/>
    </row>
    <row r="961" spans="3:12" ht="15.75" customHeight="1" x14ac:dyDescent="0.2">
      <c r="C961" s="171"/>
      <c r="D961" s="171"/>
      <c r="E961" s="171"/>
      <c r="F961" s="171"/>
      <c r="G961" s="171"/>
      <c r="H961" s="171"/>
      <c r="I961" s="171"/>
      <c r="J961" s="171"/>
      <c r="K961" s="171"/>
      <c r="L961" s="171"/>
    </row>
    <row r="962" spans="3:12" ht="15.75" customHeight="1" x14ac:dyDescent="0.2">
      <c r="C962" s="171"/>
      <c r="D962" s="171"/>
      <c r="E962" s="171"/>
      <c r="F962" s="171"/>
      <c r="G962" s="171"/>
      <c r="H962" s="171"/>
      <c r="I962" s="171"/>
      <c r="J962" s="171"/>
      <c r="K962" s="171"/>
      <c r="L962" s="171"/>
    </row>
    <row r="963" spans="3:12" ht="15.75" customHeight="1" x14ac:dyDescent="0.2">
      <c r="C963" s="171"/>
      <c r="D963" s="171"/>
      <c r="E963" s="171"/>
      <c r="F963" s="171"/>
      <c r="G963" s="171"/>
      <c r="H963" s="171"/>
      <c r="I963" s="171"/>
      <c r="J963" s="171"/>
      <c r="K963" s="171"/>
      <c r="L963" s="171"/>
    </row>
    <row r="964" spans="3:12" ht="15.75" customHeight="1" x14ac:dyDescent="0.2">
      <c r="C964" s="171"/>
      <c r="D964" s="171"/>
      <c r="E964" s="171"/>
      <c r="F964" s="171"/>
      <c r="G964" s="171"/>
      <c r="H964" s="171"/>
      <c r="I964" s="171"/>
      <c r="J964" s="171"/>
      <c r="K964" s="171"/>
      <c r="L964" s="171"/>
    </row>
    <row r="965" spans="3:12" ht="15.75" customHeight="1" x14ac:dyDescent="0.2">
      <c r="C965" s="171"/>
      <c r="D965" s="171"/>
      <c r="E965" s="171"/>
      <c r="F965" s="171"/>
      <c r="G965" s="171"/>
      <c r="H965" s="171"/>
      <c r="I965" s="171"/>
      <c r="J965" s="171"/>
      <c r="K965" s="171"/>
      <c r="L965" s="171"/>
    </row>
    <row r="966" spans="3:12" ht="15.75" customHeight="1" x14ac:dyDescent="0.2">
      <c r="C966" s="171"/>
      <c r="D966" s="171"/>
      <c r="E966" s="171"/>
      <c r="F966" s="171"/>
      <c r="G966" s="171"/>
      <c r="H966" s="171"/>
      <c r="I966" s="171"/>
      <c r="J966" s="171"/>
      <c r="K966" s="171"/>
      <c r="L966" s="171"/>
    </row>
    <row r="967" spans="3:12" ht="15.75" customHeight="1" x14ac:dyDescent="0.2">
      <c r="C967" s="171"/>
      <c r="D967" s="171"/>
      <c r="E967" s="171"/>
      <c r="F967" s="171"/>
      <c r="G967" s="171"/>
      <c r="H967" s="171"/>
      <c r="I967" s="171"/>
      <c r="J967" s="171"/>
      <c r="K967" s="171"/>
      <c r="L967" s="171"/>
    </row>
    <row r="968" spans="3:12" ht="15.75" customHeight="1" x14ac:dyDescent="0.2">
      <c r="C968" s="171"/>
      <c r="D968" s="171"/>
      <c r="E968" s="171"/>
      <c r="F968" s="171"/>
      <c r="G968" s="171"/>
      <c r="H968" s="171"/>
      <c r="I968" s="171"/>
      <c r="J968" s="171"/>
      <c r="K968" s="171"/>
      <c r="L968" s="171"/>
    </row>
    <row r="969" spans="3:12" ht="15.75" customHeight="1" x14ac:dyDescent="0.2">
      <c r="C969" s="171"/>
      <c r="D969" s="171"/>
      <c r="E969" s="171"/>
      <c r="F969" s="171"/>
      <c r="G969" s="171"/>
      <c r="H969" s="171"/>
      <c r="I969" s="171"/>
      <c r="J969" s="171"/>
      <c r="K969" s="171"/>
      <c r="L969" s="171"/>
    </row>
    <row r="970" spans="3:12" ht="15.75" customHeight="1" x14ac:dyDescent="0.2">
      <c r="C970" s="171"/>
      <c r="D970" s="171"/>
      <c r="E970" s="171"/>
      <c r="F970" s="171"/>
      <c r="G970" s="171"/>
      <c r="H970" s="171"/>
      <c r="I970" s="171"/>
      <c r="J970" s="171"/>
      <c r="K970" s="171"/>
      <c r="L970" s="171"/>
    </row>
    <row r="971" spans="3:12" ht="15.75" customHeight="1" x14ac:dyDescent="0.2">
      <c r="C971" s="171"/>
      <c r="D971" s="171"/>
      <c r="E971" s="171"/>
      <c r="F971" s="171"/>
      <c r="G971" s="171"/>
      <c r="H971" s="171"/>
      <c r="I971" s="171"/>
      <c r="J971" s="171"/>
      <c r="K971" s="171"/>
      <c r="L971" s="171"/>
    </row>
    <row r="972" spans="3:12" ht="15.75" customHeight="1" x14ac:dyDescent="0.2">
      <c r="C972" s="171"/>
      <c r="D972" s="171"/>
      <c r="E972" s="171"/>
      <c r="F972" s="171"/>
      <c r="G972" s="171"/>
      <c r="H972" s="171"/>
      <c r="I972" s="171"/>
      <c r="J972" s="171"/>
      <c r="K972" s="171"/>
      <c r="L972" s="171"/>
    </row>
    <row r="973" spans="3:12" ht="15.75" customHeight="1" x14ac:dyDescent="0.2">
      <c r="C973" s="171"/>
      <c r="D973" s="171"/>
      <c r="E973" s="171"/>
      <c r="F973" s="171"/>
      <c r="G973" s="171"/>
      <c r="H973" s="171"/>
      <c r="I973" s="171"/>
      <c r="J973" s="171"/>
      <c r="K973" s="171"/>
      <c r="L973" s="171"/>
    </row>
    <row r="974" spans="3:12" ht="15.75" customHeight="1" x14ac:dyDescent="0.2">
      <c r="C974" s="171"/>
      <c r="D974" s="171"/>
      <c r="E974" s="171"/>
      <c r="F974" s="171"/>
      <c r="G974" s="171"/>
      <c r="H974" s="171"/>
      <c r="I974" s="171"/>
      <c r="J974" s="171"/>
      <c r="K974" s="171"/>
      <c r="L974" s="171"/>
    </row>
    <row r="975" spans="3:12" ht="15.75" customHeight="1" x14ac:dyDescent="0.2">
      <c r="C975" s="171"/>
      <c r="D975" s="171"/>
      <c r="E975" s="171"/>
      <c r="F975" s="171"/>
      <c r="G975" s="171"/>
      <c r="H975" s="171"/>
      <c r="I975" s="171"/>
      <c r="J975" s="171"/>
      <c r="K975" s="171"/>
      <c r="L975" s="171"/>
    </row>
    <row r="976" spans="3:12" ht="15.75" customHeight="1" x14ac:dyDescent="0.2">
      <c r="C976" s="171"/>
      <c r="D976" s="171"/>
      <c r="E976" s="171"/>
      <c r="F976" s="171"/>
      <c r="G976" s="171"/>
      <c r="H976" s="171"/>
      <c r="I976" s="171"/>
      <c r="J976" s="171"/>
      <c r="K976" s="171"/>
      <c r="L976" s="171"/>
    </row>
    <row r="977" spans="3:12" ht="15.75" customHeight="1" x14ac:dyDescent="0.2">
      <c r="C977" s="171"/>
      <c r="D977" s="171"/>
      <c r="E977" s="171"/>
      <c r="F977" s="171"/>
      <c r="G977" s="171"/>
      <c r="H977" s="171"/>
      <c r="I977" s="171"/>
      <c r="J977" s="171"/>
      <c r="K977" s="171"/>
      <c r="L977" s="171"/>
    </row>
    <row r="978" spans="3:12" ht="15.75" customHeight="1" x14ac:dyDescent="0.2">
      <c r="C978" s="171"/>
      <c r="D978" s="171"/>
      <c r="E978" s="171"/>
      <c r="F978" s="171"/>
      <c r="G978" s="171"/>
      <c r="H978" s="171"/>
      <c r="I978" s="171"/>
      <c r="J978" s="171"/>
      <c r="K978" s="171"/>
      <c r="L978" s="171"/>
    </row>
    <row r="979" spans="3:12" ht="15.75" customHeight="1" x14ac:dyDescent="0.2">
      <c r="C979" s="171"/>
      <c r="D979" s="171"/>
      <c r="E979" s="171"/>
      <c r="F979" s="171"/>
      <c r="G979" s="171"/>
      <c r="H979" s="171"/>
      <c r="I979" s="171"/>
      <c r="J979" s="171"/>
      <c r="K979" s="171"/>
      <c r="L979" s="171"/>
    </row>
    <row r="980" spans="3:12" ht="15.75" customHeight="1" x14ac:dyDescent="0.2">
      <c r="C980" s="171"/>
      <c r="D980" s="171"/>
      <c r="E980" s="171"/>
      <c r="F980" s="171"/>
      <c r="G980" s="171"/>
      <c r="H980" s="171"/>
      <c r="I980" s="171"/>
      <c r="J980" s="171"/>
      <c r="K980" s="171"/>
      <c r="L980" s="171"/>
    </row>
    <row r="981" spans="3:12" ht="15.75" customHeight="1" x14ac:dyDescent="0.2">
      <c r="C981" s="171"/>
      <c r="D981" s="171"/>
      <c r="E981" s="171"/>
      <c r="F981" s="171"/>
      <c r="G981" s="171"/>
      <c r="H981" s="171"/>
      <c r="I981" s="171"/>
      <c r="J981" s="171"/>
      <c r="K981" s="171"/>
      <c r="L981" s="171"/>
    </row>
    <row r="982" spans="3:12" ht="15.75" customHeight="1" x14ac:dyDescent="0.2">
      <c r="C982" s="171"/>
      <c r="D982" s="171"/>
      <c r="E982" s="171"/>
      <c r="F982" s="171"/>
      <c r="G982" s="171"/>
      <c r="H982" s="171"/>
      <c r="I982" s="171"/>
      <c r="J982" s="171"/>
      <c r="K982" s="171"/>
      <c r="L982" s="171"/>
    </row>
    <row r="983" spans="3:12" ht="15.75" customHeight="1" x14ac:dyDescent="0.2">
      <c r="C983" s="171"/>
      <c r="D983" s="171"/>
      <c r="E983" s="171"/>
      <c r="F983" s="171"/>
      <c r="G983" s="171"/>
      <c r="H983" s="171"/>
      <c r="I983" s="171"/>
      <c r="J983" s="171"/>
      <c r="K983" s="171"/>
      <c r="L983" s="171"/>
    </row>
    <row r="984" spans="3:12" ht="15.75" customHeight="1" x14ac:dyDescent="0.2">
      <c r="C984" s="171"/>
      <c r="D984" s="171"/>
      <c r="E984" s="171"/>
      <c r="F984" s="171"/>
      <c r="G984" s="171"/>
      <c r="H984" s="171"/>
      <c r="I984" s="171"/>
      <c r="J984" s="171"/>
      <c r="K984" s="171"/>
      <c r="L984" s="171"/>
    </row>
    <row r="985" spans="3:12" ht="15.75" customHeight="1" x14ac:dyDescent="0.2">
      <c r="C985" s="171"/>
      <c r="D985" s="171"/>
      <c r="E985" s="171"/>
      <c r="F985" s="171"/>
      <c r="G985" s="171"/>
      <c r="H985" s="171"/>
      <c r="I985" s="171"/>
      <c r="J985" s="171"/>
      <c r="K985" s="171"/>
      <c r="L985" s="171"/>
    </row>
    <row r="986" spans="3:12" ht="15.75" customHeight="1" x14ac:dyDescent="0.2">
      <c r="C986" s="171"/>
      <c r="D986" s="171"/>
      <c r="E986" s="171"/>
      <c r="F986" s="171"/>
      <c r="G986" s="171"/>
      <c r="H986" s="171"/>
      <c r="I986" s="171"/>
      <c r="J986" s="171"/>
      <c r="K986" s="171"/>
      <c r="L986" s="171"/>
    </row>
    <row r="987" spans="3:12" ht="15.75" customHeight="1" x14ac:dyDescent="0.2">
      <c r="C987" s="171"/>
      <c r="D987" s="171"/>
      <c r="E987" s="171"/>
      <c r="F987" s="171"/>
      <c r="G987" s="171"/>
      <c r="H987" s="171"/>
      <c r="I987" s="171"/>
      <c r="J987" s="171"/>
      <c r="K987" s="171"/>
      <c r="L987" s="171"/>
    </row>
    <row r="988" spans="3:12" ht="15.75" customHeight="1" x14ac:dyDescent="0.2">
      <c r="C988" s="171"/>
      <c r="D988" s="171"/>
      <c r="E988" s="171"/>
      <c r="F988" s="171"/>
      <c r="G988" s="171"/>
      <c r="H988" s="171"/>
      <c r="I988" s="171"/>
      <c r="J988" s="171"/>
      <c r="K988" s="171"/>
      <c r="L988" s="171"/>
    </row>
    <row r="989" spans="3:12" ht="15.75" customHeight="1" x14ac:dyDescent="0.2">
      <c r="C989" s="171"/>
      <c r="D989" s="171"/>
      <c r="E989" s="171"/>
      <c r="F989" s="171"/>
      <c r="G989" s="171"/>
      <c r="H989" s="171"/>
      <c r="I989" s="171"/>
      <c r="J989" s="171"/>
      <c r="K989" s="171"/>
      <c r="L989" s="171"/>
    </row>
    <row r="990" spans="3:12" ht="15.75" customHeight="1" x14ac:dyDescent="0.2">
      <c r="C990" s="171"/>
      <c r="D990" s="171"/>
      <c r="E990" s="171"/>
      <c r="F990" s="171"/>
      <c r="G990" s="171"/>
      <c r="H990" s="171"/>
      <c r="I990" s="171"/>
      <c r="J990" s="171"/>
      <c r="K990" s="171"/>
      <c r="L990" s="171"/>
    </row>
    <row r="991" spans="3:12" ht="15.75" customHeight="1" x14ac:dyDescent="0.2">
      <c r="C991" s="171"/>
      <c r="D991" s="171"/>
      <c r="E991" s="171"/>
      <c r="F991" s="171"/>
      <c r="G991" s="171"/>
      <c r="H991" s="171"/>
      <c r="I991" s="171"/>
      <c r="J991" s="171"/>
      <c r="K991" s="171"/>
      <c r="L991" s="171"/>
    </row>
    <row r="992" spans="3:12" ht="15.75" customHeight="1" x14ac:dyDescent="0.2">
      <c r="C992" s="171"/>
      <c r="D992" s="171"/>
      <c r="E992" s="171"/>
      <c r="F992" s="171"/>
      <c r="G992" s="171"/>
      <c r="H992" s="171"/>
      <c r="I992" s="171"/>
      <c r="J992" s="171"/>
      <c r="K992" s="171"/>
      <c r="L992" s="171"/>
    </row>
    <row r="993" spans="3:12" ht="15.75" customHeight="1" x14ac:dyDescent="0.2">
      <c r="C993" s="171"/>
      <c r="D993" s="171"/>
      <c r="E993" s="171"/>
      <c r="F993" s="171"/>
      <c r="G993" s="171"/>
      <c r="H993" s="171"/>
      <c r="I993" s="171"/>
      <c r="J993" s="171"/>
      <c r="K993" s="171"/>
      <c r="L993" s="171"/>
    </row>
    <row r="994" spans="3:12" ht="15.75" customHeight="1" x14ac:dyDescent="0.2">
      <c r="C994" s="171"/>
      <c r="D994" s="171"/>
      <c r="E994" s="171"/>
      <c r="F994" s="171"/>
      <c r="G994" s="171"/>
      <c r="H994" s="171"/>
      <c r="I994" s="171"/>
      <c r="J994" s="171"/>
      <c r="K994" s="171"/>
      <c r="L994" s="171"/>
    </row>
    <row r="995" spans="3:12" ht="15.75" customHeight="1" x14ac:dyDescent="0.2">
      <c r="C995" s="171"/>
      <c r="D995" s="171"/>
      <c r="E995" s="171"/>
      <c r="F995" s="171"/>
      <c r="G995" s="171"/>
      <c r="H995" s="171"/>
      <c r="I995" s="171"/>
      <c r="J995" s="171"/>
      <c r="K995" s="171"/>
      <c r="L995" s="171"/>
    </row>
    <row r="996" spans="3:12" ht="15.75" customHeight="1" x14ac:dyDescent="0.2">
      <c r="C996" s="171"/>
      <c r="D996" s="171"/>
      <c r="E996" s="171"/>
      <c r="F996" s="171"/>
      <c r="G996" s="171"/>
      <c r="H996" s="171"/>
      <c r="I996" s="171"/>
      <c r="J996" s="171"/>
      <c r="K996" s="171"/>
      <c r="L996" s="171"/>
    </row>
    <row r="997" spans="3:12" ht="15.75" customHeight="1" x14ac:dyDescent="0.2">
      <c r="C997" s="171"/>
      <c r="D997" s="171"/>
      <c r="E997" s="171"/>
      <c r="F997" s="171"/>
      <c r="G997" s="171"/>
      <c r="H997" s="171"/>
      <c r="I997" s="171"/>
      <c r="J997" s="171"/>
      <c r="K997" s="171"/>
      <c r="L997" s="171"/>
    </row>
    <row r="998" spans="3:12" ht="15.75" customHeight="1" x14ac:dyDescent="0.2">
      <c r="C998" s="171"/>
      <c r="D998" s="171"/>
      <c r="E998" s="171"/>
      <c r="F998" s="171"/>
      <c r="G998" s="171"/>
      <c r="H998" s="171"/>
      <c r="I998" s="171"/>
      <c r="J998" s="171"/>
      <c r="K998" s="171"/>
      <c r="L998" s="171"/>
    </row>
    <row r="999" spans="3:12" ht="15.75" customHeight="1" x14ac:dyDescent="0.2">
      <c r="C999" s="171"/>
      <c r="D999" s="171"/>
      <c r="E999" s="171"/>
      <c r="F999" s="171"/>
      <c r="G999" s="171"/>
      <c r="H999" s="171"/>
      <c r="I999" s="171"/>
      <c r="J999" s="171"/>
      <c r="K999" s="171"/>
      <c r="L999" s="171"/>
    </row>
    <row r="1000" spans="3:12" ht="15.75" customHeight="1" x14ac:dyDescent="0.2">
      <c r="C1000" s="171"/>
      <c r="D1000" s="171"/>
      <c r="E1000" s="171"/>
      <c r="F1000" s="171"/>
      <c r="G1000" s="171"/>
      <c r="H1000" s="171"/>
      <c r="I1000" s="171"/>
      <c r="J1000" s="171"/>
      <c r="K1000" s="171"/>
      <c r="L1000" s="171"/>
    </row>
  </sheetData>
  <pageMargins left="0.7" right="0.7" top="0.75" bottom="0.75" header="0.3" footer="0.3"/>
  <ignoredErrors>
    <ignoredError sqref="D11:M11 D10:H10 J10:M10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Comprehensive Income </vt:lpstr>
      <vt:lpstr>Balance Sheet </vt:lpstr>
      <vt:lpstr>SCF</vt:lpstr>
      <vt:lpstr>M-score</vt:lpstr>
      <vt:lpstr>Earnings Change</vt:lpstr>
      <vt:lpstr>Financial Analysis </vt:lpstr>
      <vt:lpstr>Ratios</vt:lpstr>
      <vt:lpstr>Forecasting </vt:lpstr>
      <vt:lpstr>Change in WC and Capex</vt:lpstr>
      <vt:lpstr>Cost of Capital </vt:lpstr>
      <vt:lpstr>Market Model Output </vt:lpstr>
      <vt:lpstr>Daily Prices </vt:lpstr>
      <vt:lpstr>DDM</vt:lpstr>
      <vt:lpstr>FCF Valuation </vt:lpstr>
      <vt:lpstr>Relative Valuation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Saranu</dc:creator>
  <cp:lastModifiedBy>Sri Saranu</cp:lastModifiedBy>
  <dcterms:created xsi:type="dcterms:W3CDTF">2024-10-22T13:24:46Z</dcterms:created>
  <dcterms:modified xsi:type="dcterms:W3CDTF">2025-05-30T01:36:29Z</dcterms:modified>
</cp:coreProperties>
</file>