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vanth/Downloads/"/>
    </mc:Choice>
  </mc:AlternateContent>
  <xr:revisionPtr revIDLastSave="0" documentId="8_{C581A337-3910-3F4E-9C2A-0A0B754C93B0}" xr6:coauthVersionLast="47" xr6:coauthVersionMax="47" xr10:uidLastSave="{00000000-0000-0000-0000-000000000000}"/>
  <bookViews>
    <workbookView xWindow="0" yWindow="720" windowWidth="29400" windowHeight="18400" xr2:uid="{AD88E36F-AA73-3F42-B21F-F66DADB37028}"/>
  </bookViews>
  <sheets>
    <sheet name="Summary table " sheetId="8" r:id="rId1"/>
    <sheet name="WACC SVW " sheetId="1" r:id="rId2"/>
    <sheet name="WACC Target(VIVA)" sheetId="2" r:id="rId3"/>
    <sheet name="DCF Viva (Fundamental Valuation" sheetId="3" r:id="rId4"/>
    <sheet name="Synergy Valuation Viva " sheetId="6" r:id="rId5"/>
    <sheet name="DCF VIVA FCFE" sheetId="4" state="hidden" r:id="rId6"/>
    <sheet name="Relative Valuation Viva " sheetId="5" r:id="rId7"/>
    <sheet name="Sensitivity Analysis Calculator" sheetId="7" r:id="rId8"/>
    <sheet name="Deal Structure 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9" l="1"/>
  <c r="B10" i="9"/>
  <c r="B8" i="9"/>
  <c r="B5" i="9"/>
  <c r="B3" i="9"/>
  <c r="B4" i="9"/>
  <c r="E12" i="3"/>
  <c r="F12" i="3"/>
  <c r="G12" i="3"/>
  <c r="H12" i="3"/>
  <c r="I12" i="3"/>
  <c r="J12" i="3"/>
  <c r="D12" i="3"/>
  <c r="C12" i="3"/>
  <c r="B12" i="3"/>
  <c r="B7" i="8"/>
  <c r="C20" i="5"/>
  <c r="C19" i="5"/>
  <c r="B20" i="5"/>
  <c r="B19" i="5"/>
  <c r="B16" i="5"/>
  <c r="B15" i="5"/>
  <c r="B19" i="7"/>
  <c r="B4" i="7"/>
  <c r="C3" i="7"/>
  <c r="C4" i="7" s="1"/>
  <c r="C8" i="7" s="1"/>
  <c r="C9" i="7" s="1"/>
  <c r="B3" i="7"/>
  <c r="D2" i="7"/>
  <c r="D2" i="6"/>
  <c r="E2" i="6" s="1"/>
  <c r="F2" i="6" s="1"/>
  <c r="G2" i="6" s="1"/>
  <c r="H2" i="6" s="1"/>
  <c r="I2" i="6" s="1"/>
  <c r="J2" i="6" s="1"/>
  <c r="B19" i="6"/>
  <c r="C9" i="6"/>
  <c r="C8" i="6"/>
  <c r="C4" i="6"/>
  <c r="B4" i="6"/>
  <c r="C3" i="6"/>
  <c r="B3" i="6"/>
  <c r="C8" i="5"/>
  <c r="B11" i="5" s="1"/>
  <c r="B8" i="5"/>
  <c r="B10" i="5" s="1"/>
  <c r="C13" i="4"/>
  <c r="D13" i="4"/>
  <c r="E13" i="4"/>
  <c r="F13" i="4"/>
  <c r="G13" i="4"/>
  <c r="H13" i="4"/>
  <c r="I13" i="4"/>
  <c r="J13" i="4"/>
  <c r="B13" i="4"/>
  <c r="C12" i="4"/>
  <c r="D12" i="4"/>
  <c r="E12" i="4"/>
  <c r="F12" i="4"/>
  <c r="G12" i="4"/>
  <c r="H12" i="4"/>
  <c r="I12" i="4"/>
  <c r="J12" i="4"/>
  <c r="B12" i="4"/>
  <c r="D11" i="4"/>
  <c r="E11" i="4" s="1"/>
  <c r="F11" i="4" s="1"/>
  <c r="G11" i="4" s="1"/>
  <c r="H11" i="4" s="1"/>
  <c r="I11" i="4" s="1"/>
  <c r="J11" i="4" s="1"/>
  <c r="B26" i="4"/>
  <c r="D16" i="4"/>
  <c r="E16" i="4" s="1"/>
  <c r="F16" i="4" s="1"/>
  <c r="G16" i="4" s="1"/>
  <c r="H16" i="4" s="1"/>
  <c r="I16" i="4" s="1"/>
  <c r="J16" i="4" s="1"/>
  <c r="D15" i="4"/>
  <c r="E15" i="4" s="1"/>
  <c r="F15" i="4" s="1"/>
  <c r="G15" i="4" s="1"/>
  <c r="H15" i="4" s="1"/>
  <c r="I15" i="4" s="1"/>
  <c r="J15" i="4" s="1"/>
  <c r="C14" i="4"/>
  <c r="D14" i="4" s="1"/>
  <c r="E14" i="4" s="1"/>
  <c r="F14" i="4" s="1"/>
  <c r="G14" i="4" s="1"/>
  <c r="H14" i="4" s="1"/>
  <c r="I14" i="4" s="1"/>
  <c r="J14" i="4" s="1"/>
  <c r="B14" i="4"/>
  <c r="D10" i="4"/>
  <c r="D9" i="4"/>
  <c r="E9" i="4" s="1"/>
  <c r="F9" i="4" s="1"/>
  <c r="G9" i="4" s="1"/>
  <c r="H9" i="4" s="1"/>
  <c r="I9" i="4" s="1"/>
  <c r="J9" i="4" s="1"/>
  <c r="D8" i="4"/>
  <c r="E8" i="4" s="1"/>
  <c r="F8" i="4" s="1"/>
  <c r="G8" i="4" s="1"/>
  <c r="H8" i="4" s="1"/>
  <c r="I8" i="4" s="1"/>
  <c r="J8" i="4" s="1"/>
  <c r="D7" i="4"/>
  <c r="E7" i="4" s="1"/>
  <c r="F7" i="4" s="1"/>
  <c r="G7" i="4" s="1"/>
  <c r="H7" i="4" s="1"/>
  <c r="I7" i="4" s="1"/>
  <c r="J7" i="4" s="1"/>
  <c r="D6" i="4"/>
  <c r="E6" i="4" s="1"/>
  <c r="F6" i="4" s="1"/>
  <c r="G6" i="4" s="1"/>
  <c r="H6" i="4" s="1"/>
  <c r="I6" i="4" s="1"/>
  <c r="J6" i="4" s="1"/>
  <c r="D5" i="4"/>
  <c r="E5" i="4" s="1"/>
  <c r="F5" i="4" s="1"/>
  <c r="G5" i="4" s="1"/>
  <c r="H5" i="4" s="1"/>
  <c r="I5" i="4" s="1"/>
  <c r="J5" i="4" s="1"/>
  <c r="D4" i="4"/>
  <c r="E4" i="4" s="1"/>
  <c r="F4" i="4" s="1"/>
  <c r="G4" i="4" s="1"/>
  <c r="H4" i="4" s="1"/>
  <c r="I4" i="4" s="1"/>
  <c r="J4" i="4" s="1"/>
  <c r="D3" i="4"/>
  <c r="E3" i="4" s="1"/>
  <c r="F3" i="4" s="1"/>
  <c r="G3" i="4" s="1"/>
  <c r="H3" i="4" s="1"/>
  <c r="I3" i="4" s="1"/>
  <c r="J3" i="4" s="1"/>
  <c r="D2" i="4"/>
  <c r="E2" i="4" s="1"/>
  <c r="F2" i="4" s="1"/>
  <c r="G2" i="4" s="1"/>
  <c r="H2" i="4" s="1"/>
  <c r="I2" i="4" s="1"/>
  <c r="J2" i="4" s="1"/>
  <c r="B25" i="3"/>
  <c r="C11" i="3"/>
  <c r="D11" i="3"/>
  <c r="E11" i="3"/>
  <c r="F11" i="3"/>
  <c r="G11" i="3"/>
  <c r="H11" i="3"/>
  <c r="I11" i="3"/>
  <c r="J11" i="3"/>
  <c r="B11" i="3"/>
  <c r="F14" i="3"/>
  <c r="G14" i="3" s="1"/>
  <c r="H14" i="3" s="1"/>
  <c r="E14" i="3"/>
  <c r="D14" i="3"/>
  <c r="J15" i="3"/>
  <c r="I15" i="3"/>
  <c r="H15" i="3"/>
  <c r="G15" i="3"/>
  <c r="J3" i="3"/>
  <c r="J4" i="3"/>
  <c r="J5" i="3"/>
  <c r="J6" i="3"/>
  <c r="J7" i="3"/>
  <c r="J8" i="3"/>
  <c r="J9" i="3"/>
  <c r="J10" i="3"/>
  <c r="J13" i="3"/>
  <c r="I3" i="3"/>
  <c r="I4" i="3"/>
  <c r="I5" i="3"/>
  <c r="I6" i="3"/>
  <c r="I7" i="3"/>
  <c r="I8" i="3"/>
  <c r="I9" i="3"/>
  <c r="I10" i="3"/>
  <c r="I13" i="3"/>
  <c r="J2" i="3"/>
  <c r="I2" i="3"/>
  <c r="F15" i="3"/>
  <c r="H3" i="3"/>
  <c r="H4" i="3"/>
  <c r="H5" i="3"/>
  <c r="H6" i="3"/>
  <c r="H7" i="3"/>
  <c r="H8" i="3"/>
  <c r="H9" i="3"/>
  <c r="H10" i="3"/>
  <c r="H13" i="3"/>
  <c r="G3" i="3"/>
  <c r="G4" i="3"/>
  <c r="G5" i="3"/>
  <c r="G6" i="3"/>
  <c r="G7" i="3"/>
  <c r="G8" i="3"/>
  <c r="G9" i="3"/>
  <c r="G10" i="3"/>
  <c r="G13" i="3"/>
  <c r="F3" i="3"/>
  <c r="F4" i="3"/>
  <c r="F5" i="3"/>
  <c r="F6" i="3"/>
  <c r="F7" i="3"/>
  <c r="F8" i="3"/>
  <c r="F9" i="3"/>
  <c r="F10" i="3"/>
  <c r="F13" i="3"/>
  <c r="H2" i="3"/>
  <c r="G2" i="3"/>
  <c r="F2" i="3"/>
  <c r="D15" i="3"/>
  <c r="E15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3" i="3"/>
  <c r="E3" i="3" s="1"/>
  <c r="D2" i="3"/>
  <c r="E2" i="3" s="1"/>
  <c r="B13" i="3"/>
  <c r="C13" i="3"/>
  <c r="D13" i="3" s="1"/>
  <c r="E13" i="3" s="1"/>
  <c r="E3" i="2"/>
  <c r="E6" i="2" s="1"/>
  <c r="E2" i="2"/>
  <c r="B2" i="2"/>
  <c r="B1" i="2" s="1"/>
  <c r="B6" i="2"/>
  <c r="E4" i="2"/>
  <c r="E2" i="1"/>
  <c r="B6" i="1"/>
  <c r="E4" i="1"/>
  <c r="E3" i="1"/>
  <c r="E6" i="1" s="1"/>
  <c r="B2" i="1"/>
  <c r="B1" i="1" s="1"/>
  <c r="E9" i="1" l="1"/>
  <c r="E1" i="1"/>
  <c r="E16" i="3"/>
  <c r="E17" i="3" s="1"/>
  <c r="D16" i="3"/>
  <c r="D17" i="3" s="1"/>
  <c r="B12" i="5"/>
  <c r="B14" i="5" s="1"/>
  <c r="E2" i="7"/>
  <c r="D3" i="7"/>
  <c r="D4" i="7" s="1"/>
  <c r="D8" i="7" s="1"/>
  <c r="D9" i="7" s="1"/>
  <c r="E3" i="6"/>
  <c r="D3" i="6"/>
  <c r="D4" i="6"/>
  <c r="D8" i="6" s="1"/>
  <c r="D9" i="6" s="1"/>
  <c r="F3" i="6"/>
  <c r="F4" i="6" s="1"/>
  <c r="F8" i="6" s="1"/>
  <c r="F9" i="6" s="1"/>
  <c r="E4" i="6"/>
  <c r="E8" i="6" s="1"/>
  <c r="E9" i="6" s="1"/>
  <c r="C17" i="4"/>
  <c r="C18" i="4" s="1"/>
  <c r="E10" i="4"/>
  <c r="F16" i="3"/>
  <c r="F17" i="3" s="1"/>
  <c r="C16" i="3"/>
  <c r="C17" i="3" s="1"/>
  <c r="I14" i="3"/>
  <c r="J14" i="3" s="1"/>
  <c r="B12" i="1"/>
  <c r="E1" i="2"/>
  <c r="E9" i="2"/>
  <c r="G16" i="3" l="1"/>
  <c r="G17" i="3" s="1"/>
  <c r="J16" i="3"/>
  <c r="K16" i="3" s="1"/>
  <c r="K17" i="3" s="1"/>
  <c r="H16" i="3"/>
  <c r="H17" i="3" s="1"/>
  <c r="F2" i="7"/>
  <c r="E3" i="7"/>
  <c r="E4" i="7" s="1"/>
  <c r="E8" i="7" s="1"/>
  <c r="E9" i="7" s="1"/>
  <c r="G3" i="6"/>
  <c r="G4" i="6" s="1"/>
  <c r="G8" i="6" s="1"/>
  <c r="G9" i="6" s="1"/>
  <c r="F10" i="4"/>
  <c r="D17" i="4"/>
  <c r="D18" i="4" s="1"/>
  <c r="I16" i="3"/>
  <c r="I17" i="3" s="1"/>
  <c r="B12" i="2"/>
  <c r="J17" i="3" l="1"/>
  <c r="F3" i="7"/>
  <c r="F4" i="7" s="1"/>
  <c r="F8" i="7" s="1"/>
  <c r="F9" i="7" s="1"/>
  <c r="G2" i="7"/>
  <c r="H3" i="6"/>
  <c r="H4" i="6"/>
  <c r="H8" i="6" s="1"/>
  <c r="H9" i="6" s="1"/>
  <c r="B18" i="3"/>
  <c r="B24" i="3" s="1"/>
  <c r="B26" i="3" s="1"/>
  <c r="E17" i="4"/>
  <c r="E18" i="4" s="1"/>
  <c r="G10" i="4"/>
  <c r="G3" i="7" l="1"/>
  <c r="G4" i="7" s="1"/>
  <c r="G8" i="7" s="1"/>
  <c r="G9" i="7" s="1"/>
  <c r="H2" i="7"/>
  <c r="I3" i="6"/>
  <c r="I4" i="6"/>
  <c r="I8" i="6" s="1"/>
  <c r="I9" i="6" s="1"/>
  <c r="H10" i="4"/>
  <c r="F17" i="4"/>
  <c r="F18" i="4" s="1"/>
  <c r="H3" i="7" l="1"/>
  <c r="H4" i="7" s="1"/>
  <c r="H8" i="7" s="1"/>
  <c r="H9" i="7" s="1"/>
  <c r="I2" i="7"/>
  <c r="J3" i="6"/>
  <c r="J4" i="6" s="1"/>
  <c r="J8" i="6" s="1"/>
  <c r="G17" i="4"/>
  <c r="G18" i="4" s="1"/>
  <c r="I10" i="4"/>
  <c r="I3" i="7" l="1"/>
  <c r="I4" i="7" s="1"/>
  <c r="I8" i="7" s="1"/>
  <c r="I9" i="7" s="1"/>
  <c r="J2" i="7"/>
  <c r="J9" i="6"/>
  <c r="K8" i="6"/>
  <c r="K9" i="6" s="1"/>
  <c r="B10" i="6" s="1"/>
  <c r="B16" i="6" s="1"/>
  <c r="B18" i="6" s="1"/>
  <c r="B20" i="6" s="1"/>
  <c r="J10" i="4"/>
  <c r="H17" i="4"/>
  <c r="H18" i="4" s="1"/>
  <c r="J3" i="7" l="1"/>
  <c r="J4" i="7"/>
  <c r="J8" i="7" s="1"/>
  <c r="J17" i="4"/>
  <c r="I17" i="4"/>
  <c r="I18" i="4" s="1"/>
  <c r="J9" i="7" l="1"/>
  <c r="K8" i="7"/>
  <c r="K9" i="7" s="1"/>
  <c r="J18" i="4"/>
  <c r="K17" i="4"/>
  <c r="K18" i="4" s="1"/>
  <c r="B19" i="4" s="1"/>
  <c r="B25" i="4" s="1"/>
  <c r="B27" i="4" s="1"/>
  <c r="B10" i="7" l="1"/>
  <c r="B16" i="7" s="1"/>
  <c r="B18" i="7" s="1"/>
  <c r="B20" i="7" s="1"/>
</calcChain>
</file>

<file path=xl/sharedStrings.xml><?xml version="1.0" encoding="utf-8"?>
<sst xmlns="http://schemas.openxmlformats.org/spreadsheetml/2006/main" count="195" uniqueCount="99">
  <si>
    <t xml:space="preserve">MV of Equity </t>
  </si>
  <si>
    <t>Outstanding Shares</t>
  </si>
  <si>
    <t xml:space="preserve">Current price </t>
  </si>
  <si>
    <t xml:space="preserve">Cost of Debt </t>
  </si>
  <si>
    <t>Interest Expense</t>
  </si>
  <si>
    <t xml:space="preserve">Total Debt </t>
  </si>
  <si>
    <t>(1 - T)</t>
  </si>
  <si>
    <t>MV of Debt</t>
  </si>
  <si>
    <t xml:space="preserve">Cost of Equity </t>
  </si>
  <si>
    <t>Rf</t>
  </si>
  <si>
    <t xml:space="preserve">Beta </t>
  </si>
  <si>
    <t>MRP</t>
  </si>
  <si>
    <t>MV of D+E</t>
  </si>
  <si>
    <t xml:space="preserve">WACC </t>
  </si>
  <si>
    <t>Item</t>
  </si>
  <si>
    <t>12/22</t>
  </si>
  <si>
    <t>12/23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</si>
  <si>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</si>
  <si>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</si>
  <si>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</si>
  <si>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</si>
  <si>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</si>
  <si>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</si>
  <si>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</si>
  <si>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</si>
  <si>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</si>
  <si>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 xml:space="preserve">Unlevered Net Income </t>
  </si>
  <si>
    <t xml:space="preserve">Less: Capital Expenditure </t>
  </si>
  <si>
    <t xml:space="preserve">Less: Working Capital Change </t>
  </si>
  <si>
    <t>FCFF</t>
  </si>
  <si>
    <t>WACC</t>
  </si>
  <si>
    <t xml:space="preserve">PV </t>
  </si>
  <si>
    <t xml:space="preserve">NPV </t>
  </si>
  <si>
    <t>12/24FE</t>
  </si>
  <si>
    <t>12/25FE</t>
  </si>
  <si>
    <t>12/26FE</t>
  </si>
  <si>
    <t>12/27FE</t>
  </si>
  <si>
    <t>12/28FE</t>
  </si>
  <si>
    <t>12/29FE</t>
  </si>
  <si>
    <t>12/30FE</t>
  </si>
  <si>
    <t>Terminal Value</t>
  </si>
  <si>
    <t>TAX at 30%</t>
  </si>
  <si>
    <t xml:space="preserve">Value of the Firm </t>
  </si>
  <si>
    <t xml:space="preserve">Debt </t>
  </si>
  <si>
    <t>Value of Equity</t>
  </si>
  <si>
    <t xml:space="preserve">Interest Expense </t>
  </si>
  <si>
    <t>Net Income before Taxes</t>
  </si>
  <si>
    <t>Net Income after Taxes</t>
  </si>
  <si>
    <t xml:space="preserve">Bearing Companies </t>
  </si>
  <si>
    <t>EV/EBITDA</t>
  </si>
  <si>
    <t xml:space="preserve">EV/EBIT </t>
  </si>
  <si>
    <t>Woodside Energy Group Ltd</t>
  </si>
  <si>
    <t>Karoon Energy Ltd</t>
  </si>
  <si>
    <t>Beach Energy Limited</t>
  </si>
  <si>
    <t>Santos Limited</t>
  </si>
  <si>
    <t>Viva Energy Group Limited</t>
  </si>
  <si>
    <t>Ampol Limited</t>
  </si>
  <si>
    <t xml:space="preserve">Mean </t>
  </si>
  <si>
    <t>EV using EV/EBIT (VIVA ENERGY)</t>
  </si>
  <si>
    <t>EV using EV/EBITDA (VIVA ENERGY)</t>
  </si>
  <si>
    <t xml:space="preserve">Average of these both </t>
  </si>
  <si>
    <t xml:space="preserve">EV of the firm </t>
  </si>
  <si>
    <t>Operating Income</t>
  </si>
  <si>
    <t xml:space="preserve">No. of Outstanding Shares </t>
  </si>
  <si>
    <t xml:space="preserve">Per share value with Synergy </t>
  </si>
  <si>
    <t xml:space="preserve">Synergy improvement </t>
  </si>
  <si>
    <t xml:space="preserve">Operating Income Improvemnet </t>
  </si>
  <si>
    <t xml:space="preserve">Sensitivity Analysis of Intrinsic value of share with different Operating Income growth post merger </t>
  </si>
  <si>
    <t>Operating Income Improvement</t>
  </si>
  <si>
    <t>Debt</t>
  </si>
  <si>
    <t>Equity Value</t>
  </si>
  <si>
    <t>Per share price</t>
  </si>
  <si>
    <t>Outstanding shares</t>
  </si>
  <si>
    <t>Equity value (EBITDA)</t>
  </si>
  <si>
    <t>Equity value (EBIT)</t>
  </si>
  <si>
    <t xml:space="preserve">Valuation Method </t>
  </si>
  <si>
    <t xml:space="preserve">DCF </t>
  </si>
  <si>
    <t>Relative (EV/EBITDA)</t>
  </si>
  <si>
    <t>Relative (EV/EBIT)</t>
  </si>
  <si>
    <t xml:space="preserve">Average Relative </t>
  </si>
  <si>
    <t xml:space="preserve">DCF + Synergy </t>
  </si>
  <si>
    <t xml:space="preserve">Market </t>
  </si>
  <si>
    <t xml:space="preserve">Enterprise Value </t>
  </si>
  <si>
    <t>Implied Share Price</t>
  </si>
  <si>
    <t>-</t>
  </si>
  <si>
    <t>Control Premium for Viva Energy</t>
  </si>
  <si>
    <t>Market Price of Viva Energy</t>
  </si>
  <si>
    <t>Outstanding Shares for Viva Energy</t>
  </si>
  <si>
    <t>Offer Price per Share (Viva)</t>
  </si>
  <si>
    <t xml:space="preserve">Required Capital to Acquire Viva </t>
  </si>
  <si>
    <t xml:space="preserve">SVW Cash Reserves </t>
  </si>
  <si>
    <t xml:space="preserve">Additional Debt Capacity </t>
  </si>
  <si>
    <t xml:space="preserve">Equity required to raise </t>
  </si>
  <si>
    <t xml:space="preserve">SVW Share Price </t>
  </si>
  <si>
    <t xml:space="preserve">Additional New Shares </t>
  </si>
  <si>
    <t>Deal Structure ratio D/E</t>
  </si>
  <si>
    <t>53.2%/46.7%</t>
  </si>
  <si>
    <t>New WACC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</si>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</sst>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164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0" fontId="0" fillId="2" borderId="0" xfId="0" applyNumberFormat="1" applyFill="1"/>
    <xf numFmtId="0" fontId="1" fillId="3" borderId="0" xfId="0" applyFont="1" applyFill="1" applyAlignment="1">
      <alignment horizontal="center"/>
    </xf>
    <xf numFmtId="4" fontId="0" fillId="0" borderId="0" xfId="0" applyNumberFormat="1"/>
    <xf numFmtId="0" fontId="0" fillId="4" borderId="0" xfId="0" applyFill="1"/>
    <xf numFmtId="4" fontId="0" fillId="4" borderId="0" xfId="0" applyNumberFormat="1" applyFill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44" fontId="0" fillId="4" borderId="0" xfId="0" applyNumberForma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5" borderId="0" xfId="0" applyFont="1" applyFill="1"/>
    <xf numFmtId="44" fontId="0" fillId="5" borderId="0" xfId="0" applyNumberFormat="1" applyFill="1"/>
    <xf numFmtId="0" fontId="0" fillId="5" borderId="0" xfId="0" applyFill="1"/>
    <xf numFmtId="0" fontId="7" fillId="0" borderId="0" xfId="0" applyFont="1"/>
    <xf numFmtId="44" fontId="7" fillId="0" borderId="0" xfId="0" applyNumberFormat="1" applyFont="1"/>
    <xf numFmtId="9" fontId="7" fillId="0" borderId="0" xfId="0" applyNumberFormat="1" applyFont="1"/>
    <xf numFmtId="0" fontId="7" fillId="8" borderId="1" xfId="0" applyFont="1" applyFill="1" applyBorder="1"/>
    <xf numFmtId="44" fontId="7" fillId="8" borderId="2" xfId="0" applyNumberFormat="1" applyFont="1" applyFill="1" applyBorder="1"/>
    <xf numFmtId="9" fontId="7" fillId="0" borderId="3" xfId="0" applyNumberFormat="1" applyFont="1" applyBorder="1"/>
    <xf numFmtId="44" fontId="7" fillId="0" borderId="4" xfId="0" applyNumberFormat="1" applyFont="1" applyBorder="1"/>
    <xf numFmtId="0" fontId="7" fillId="0" borderId="5" xfId="0" applyFont="1" applyBorder="1"/>
    <xf numFmtId="44" fontId="7" fillId="0" borderId="6" xfId="0" applyNumberFormat="1" applyFont="1" applyBorder="1"/>
    <xf numFmtId="0" fontId="8" fillId="7" borderId="7" xfId="0" applyFont="1" applyFill="1" applyBorder="1" applyAlignment="1">
      <alignment horizontal="center"/>
    </xf>
    <xf numFmtId="10" fontId="7" fillId="0" borderId="8" xfId="0" applyNumberFormat="1" applyFont="1" applyBorder="1"/>
    <xf numFmtId="0" fontId="1" fillId="3" borderId="9" xfId="0" applyFont="1" applyFill="1" applyBorder="1" applyAlignment="1">
      <alignment horizontal="center"/>
    </xf>
    <xf numFmtId="0" fontId="7" fillId="0" borderId="9" xfId="0" applyFont="1" applyBorder="1"/>
    <xf numFmtId="44" fontId="7" fillId="0" borderId="9" xfId="0" applyNumberFormat="1" applyFont="1" applyBorder="1"/>
    <xf numFmtId="0" fontId="7" fillId="6" borderId="9" xfId="0" applyFont="1" applyFill="1" applyBorder="1"/>
    <xf numFmtId="4" fontId="7" fillId="6" borderId="9" xfId="0" applyNumberFormat="1" applyFont="1" applyFill="1" applyBorder="1"/>
    <xf numFmtId="44" fontId="7" fillId="6" borderId="9" xfId="0" applyNumberFormat="1" applyFont="1" applyFill="1" applyBorder="1"/>
    <xf numFmtId="0" fontId="7" fillId="0" borderId="0" xfId="0" applyFont="1" applyBorder="1"/>
    <xf numFmtId="0" fontId="0" fillId="0" borderId="0" xfId="0" applyBorder="1"/>
    <xf numFmtId="44" fontId="7" fillId="0" borderId="0" xfId="0" applyNumberFormat="1" applyFont="1" applyBorder="1"/>
    <xf numFmtId="0" fontId="7" fillId="0" borderId="3" xfId="0" applyFont="1" applyBorder="1"/>
    <xf numFmtId="2" fontId="0" fillId="0" borderId="4" xfId="0" applyNumberFormat="1" applyBorder="1"/>
    <xf numFmtId="0" fontId="7" fillId="0" borderId="5" xfId="0" applyFont="1" applyFill="1" applyBorder="1"/>
    <xf numFmtId="44" fontId="0" fillId="0" borderId="6" xfId="0" applyNumberFormat="1" applyBorder="1"/>
    <xf numFmtId="44" fontId="7" fillId="0" borderId="0" xfId="1" applyFont="1"/>
    <xf numFmtId="0" fontId="0" fillId="9" borderId="0" xfId="0" applyFill="1"/>
    <xf numFmtId="9" fontId="0" fillId="9" borderId="0" xfId="0" applyNumberFormat="1" applyFill="1"/>
    <xf numFmtId="10" fontId="0" fillId="0" borderId="9" xfId="0" applyNumberFormat="1" applyBorder="1"/>
    <xf numFmtId="9" fontId="0" fillId="0" borderId="9" xfId="0" applyNumberFormat="1" applyBorder="1"/>
    <xf numFmtId="0" fontId="0" fillId="0" borderId="13" xfId="0" applyBorder="1"/>
    <xf numFmtId="10" fontId="0" fillId="0" borderId="14" xfId="0" applyNumberFormat="1" applyBorder="1"/>
    <xf numFmtId="0" fontId="0" fillId="0" borderId="15" xfId="0" applyBorder="1"/>
    <xf numFmtId="44" fontId="0" fillId="0" borderId="16" xfId="0" applyNumberFormat="1" applyBorder="1"/>
    <xf numFmtId="44" fontId="0" fillId="0" borderId="17" xfId="0" applyNumberFormat="1" applyBorder="1"/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10" fontId="0" fillId="10" borderId="9" xfId="0" applyNumberFormat="1" applyFill="1" applyBorder="1"/>
    <xf numFmtId="44" fontId="0" fillId="10" borderId="16" xfId="0" applyNumberFormat="1" applyFill="1" applyBorder="1"/>
    <xf numFmtId="0" fontId="0" fillId="0" borderId="0" xfId="0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11" borderId="9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11" borderId="13" xfId="0" applyFill="1" applyBorder="1"/>
    <xf numFmtId="164" fontId="0" fillId="11" borderId="14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4" fontId="0" fillId="0" borderId="0" xfId="1" applyFont="1"/>
    <xf numFmtId="0" fontId="0" fillId="0" borderId="0" xfId="0" applyFill="1"/>
    <xf numFmtId="0" fontId="7" fillId="0" borderId="0" xfId="0" applyFont="1" applyFill="1"/>
    <xf numFmtId="164" fontId="7" fillId="0" borderId="0" xfId="0" applyNumberFormat="1" applyFont="1" applyFill="1"/>
    <xf numFmtId="10" fontId="7" fillId="0" borderId="0" xfId="0" applyNumberFormat="1" applyFont="1" applyFill="1"/>
    <xf numFmtId="9" fontId="7" fillId="0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DCDD-AE22-FC42-859C-A3E157765644}">
  <dimension ref="A1:D15"/>
  <sheetViews>
    <sheetView tabSelected="1" zoomScale="175" workbookViewId="0">
      <selection activeCell="B13" sqref="B13"/>
    </sheetView>
  </sheetViews>
  <sheetFormatPr baseColWidth="10" defaultRowHeight="16" x14ac:dyDescent="0.2"/>
  <cols>
    <col min="1" max="1" width="22.33203125" customWidth="1"/>
    <col min="2" max="2" width="27.33203125" customWidth="1"/>
    <col min="3" max="4" width="18.83203125" customWidth="1"/>
  </cols>
  <sheetData>
    <row r="1" spans="1:4" x14ac:dyDescent="0.2">
      <c r="A1" s="67" t="s">
        <v>75</v>
      </c>
      <c r="B1" s="68" t="s">
        <v>82</v>
      </c>
      <c r="C1" s="69" t="s">
        <v>83</v>
      </c>
    </row>
    <row r="2" spans="1:4" x14ac:dyDescent="0.2">
      <c r="A2" s="49" t="s">
        <v>76</v>
      </c>
      <c r="B2" s="60">
        <v>918682324.5853169</v>
      </c>
      <c r="C2" s="63" t="s">
        <v>84</v>
      </c>
      <c r="D2" s="59"/>
    </row>
    <row r="3" spans="1:4" x14ac:dyDescent="0.2">
      <c r="A3" s="49" t="s">
        <v>77</v>
      </c>
      <c r="B3" s="60">
        <v>5486535000</v>
      </c>
      <c r="C3" s="63">
        <v>1.75</v>
      </c>
    </row>
    <row r="4" spans="1:4" x14ac:dyDescent="0.2">
      <c r="A4" s="49" t="s">
        <v>78</v>
      </c>
      <c r="B4" s="60">
        <v>3843392000.000001</v>
      </c>
      <c r="C4" s="63">
        <v>0.69</v>
      </c>
    </row>
    <row r="5" spans="1:4" x14ac:dyDescent="0.2">
      <c r="A5" s="49" t="s">
        <v>79</v>
      </c>
      <c r="B5" s="60">
        <v>4664963500</v>
      </c>
      <c r="C5" s="63">
        <v>1.22</v>
      </c>
    </row>
    <row r="6" spans="1:4" x14ac:dyDescent="0.2">
      <c r="A6" s="64" t="s">
        <v>80</v>
      </c>
      <c r="B6" s="61">
        <v>9657962814.6777039</v>
      </c>
      <c r="C6" s="65">
        <v>4.45</v>
      </c>
    </row>
    <row r="7" spans="1:4" ht="17" thickBot="1" x14ac:dyDescent="0.25">
      <c r="A7" s="51" t="s">
        <v>81</v>
      </c>
      <c r="B7" s="62">
        <f>8168.94*1000000</f>
        <v>8168940000</v>
      </c>
      <c r="C7" s="66">
        <v>3.38</v>
      </c>
    </row>
    <row r="15" spans="1:4" x14ac:dyDescent="0.2">
      <c r="B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88A-7517-CC4A-830E-628A34DD0774}">
  <dimension ref="A1:F12"/>
  <sheetViews>
    <sheetView zoomScale="120" zoomScaleNormal="120" workbookViewId="0">
      <selection activeCell="G11" sqref="G11"/>
    </sheetView>
  </sheetViews>
  <sheetFormatPr baseColWidth="10" defaultRowHeight="16" x14ac:dyDescent="0.2"/>
  <cols>
    <col min="1" max="1" width="16.83203125" customWidth="1"/>
    <col min="2" max="2" width="18.1640625" customWidth="1"/>
    <col min="4" max="4" width="14.33203125" customWidth="1"/>
    <col min="5" max="5" width="21.6640625" customWidth="1"/>
    <col min="6" max="6" width="17" bestFit="1" customWidth="1"/>
    <col min="9" max="9" width="10.83203125" customWidth="1"/>
  </cols>
  <sheetData>
    <row r="1" spans="1:6" x14ac:dyDescent="0.2">
      <c r="A1" s="1" t="s">
        <v>0</v>
      </c>
      <c r="B1" s="2">
        <f>B2*B3</f>
        <v>13771888000</v>
      </c>
      <c r="D1" s="1" t="s">
        <v>3</v>
      </c>
      <c r="E1" s="5">
        <f>(E2/E3)*E4</f>
        <v>3.8946975354742341E-2</v>
      </c>
    </row>
    <row r="2" spans="1:6" x14ac:dyDescent="0.2">
      <c r="A2" t="s">
        <v>1</v>
      </c>
      <c r="B2">
        <f>362.8*1000000</f>
        <v>362800000</v>
      </c>
      <c r="D2" t="s">
        <v>4</v>
      </c>
      <c r="E2">
        <f>298*1000000</f>
        <v>298000000</v>
      </c>
    </row>
    <row r="3" spans="1:6" x14ac:dyDescent="0.2">
      <c r="A3" t="s">
        <v>2</v>
      </c>
      <c r="B3">
        <v>37.96</v>
      </c>
      <c r="D3" t="s">
        <v>5</v>
      </c>
      <c r="E3">
        <f>5356*1000000</f>
        <v>5356000000</v>
      </c>
    </row>
    <row r="4" spans="1:6" x14ac:dyDescent="0.2">
      <c r="D4" t="s">
        <v>6</v>
      </c>
      <c r="E4">
        <f>(1-0.3)</f>
        <v>0.7</v>
      </c>
    </row>
    <row r="6" spans="1:6" x14ac:dyDescent="0.2">
      <c r="A6" s="1" t="s">
        <v>8</v>
      </c>
      <c r="B6" s="5">
        <f>B7+B8*(B9)</f>
        <v>8.4330000000000002E-2</v>
      </c>
      <c r="D6" s="1" t="s">
        <v>7</v>
      </c>
      <c r="E6" s="2">
        <f>E3+(521.7*1000000)</f>
        <v>5877700000</v>
      </c>
      <c r="F6" s="11"/>
    </row>
    <row r="7" spans="1:6" x14ac:dyDescent="0.2">
      <c r="A7" t="s">
        <v>9</v>
      </c>
      <c r="B7" s="3">
        <v>4.3529999999999999E-2</v>
      </c>
    </row>
    <row r="8" spans="1:6" x14ac:dyDescent="0.2">
      <c r="A8" t="s">
        <v>10</v>
      </c>
      <c r="B8">
        <v>0.68</v>
      </c>
    </row>
    <row r="9" spans="1:6" x14ac:dyDescent="0.2">
      <c r="A9" t="s">
        <v>11</v>
      </c>
      <c r="B9" s="4">
        <v>0.06</v>
      </c>
      <c r="D9" s="1" t="s">
        <v>12</v>
      </c>
      <c r="E9" s="2">
        <f>E6+B1</f>
        <v>19649588000</v>
      </c>
    </row>
    <row r="11" spans="1:6" x14ac:dyDescent="0.2">
      <c r="B11" s="1" t="s">
        <v>13</v>
      </c>
    </row>
    <row r="12" spans="1:6" x14ac:dyDescent="0.2">
      <c r="B12" s="5">
        <f>((B1/E9)*B6)+(E6/E9)*E1</f>
        <v>7.0754763513747418E-2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6CAF-FE57-E648-A4E8-A8683E12E332}">
  <dimension ref="A1:E12"/>
  <sheetViews>
    <sheetView zoomScale="120" zoomScaleNormal="120" workbookViewId="0">
      <selection activeCell="E23" sqref="E23"/>
    </sheetView>
  </sheetViews>
  <sheetFormatPr baseColWidth="10" defaultRowHeight="16" x14ac:dyDescent="0.2"/>
  <cols>
    <col min="1" max="1" width="16.83203125" customWidth="1"/>
    <col min="2" max="2" width="18.1640625" customWidth="1"/>
    <col min="4" max="4" width="14.33203125" customWidth="1"/>
    <col min="5" max="5" width="21.6640625" customWidth="1"/>
  </cols>
  <sheetData>
    <row r="1" spans="1:5" x14ac:dyDescent="0.2">
      <c r="A1" s="1" t="s">
        <v>0</v>
      </c>
      <c r="B1" s="2">
        <f>B2*B3</f>
        <v>5281061400</v>
      </c>
      <c r="D1" s="1" t="s">
        <v>3</v>
      </c>
      <c r="E1" s="5">
        <f>(E2/E3)*E4</f>
        <v>6.258203335126411E-2</v>
      </c>
    </row>
    <row r="2" spans="1:5" x14ac:dyDescent="0.2">
      <c r="A2" t="s">
        <v>1</v>
      </c>
      <c r="B2">
        <f>1544.17*1000000</f>
        <v>1544170000</v>
      </c>
      <c r="D2" t="s">
        <v>4</v>
      </c>
      <c r="E2">
        <f>249.3*1000000</f>
        <v>249300000</v>
      </c>
    </row>
    <row r="3" spans="1:5" x14ac:dyDescent="0.2">
      <c r="A3" t="s">
        <v>2</v>
      </c>
      <c r="B3">
        <v>3.42</v>
      </c>
      <c r="D3" t="s">
        <v>5</v>
      </c>
      <c r="E3">
        <f>2788.5*1000000</f>
        <v>2788500000</v>
      </c>
    </row>
    <row r="4" spans="1:5" x14ac:dyDescent="0.2">
      <c r="D4" t="s">
        <v>6</v>
      </c>
      <c r="E4">
        <f>(1-0.3)</f>
        <v>0.7</v>
      </c>
    </row>
    <row r="6" spans="1:5" x14ac:dyDescent="0.2">
      <c r="A6" s="1" t="s">
        <v>8</v>
      </c>
      <c r="B6" s="5">
        <f>B7+B8*(B9)</f>
        <v>0.14853</v>
      </c>
      <c r="D6" s="1" t="s">
        <v>7</v>
      </c>
      <c r="E6" s="2">
        <f>E3+(206.8*1000000)</f>
        <v>2995300000</v>
      </c>
    </row>
    <row r="7" spans="1:5" x14ac:dyDescent="0.2">
      <c r="A7" t="s">
        <v>9</v>
      </c>
      <c r="B7" s="3">
        <v>4.3529999999999999E-2</v>
      </c>
    </row>
    <row r="8" spans="1:5" x14ac:dyDescent="0.2">
      <c r="A8" t="s">
        <v>10</v>
      </c>
      <c r="B8">
        <v>1.75</v>
      </c>
    </row>
    <row r="9" spans="1:5" x14ac:dyDescent="0.2">
      <c r="A9" t="s">
        <v>11</v>
      </c>
      <c r="B9" s="4">
        <v>0.06</v>
      </c>
      <c r="D9" s="1" t="s">
        <v>12</v>
      </c>
      <c r="E9" s="2">
        <f>E6+B1</f>
        <v>8276361400</v>
      </c>
    </row>
    <row r="11" spans="1:5" x14ac:dyDescent="0.2">
      <c r="B11" s="1" t="s">
        <v>13</v>
      </c>
    </row>
    <row r="12" spans="1:5" x14ac:dyDescent="0.2">
      <c r="B12" s="5">
        <f>((B1/E9)*B6)+(E6/E9)*E1</f>
        <v>0.11742455014579732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5968-5099-3F46-BBEC-6236325E5E58}">
  <dimension ref="A1:K26"/>
  <sheetViews>
    <sheetView zoomScaleNormal="108" workbookViewId="0">
      <selection activeCell="E34" sqref="E34"/>
    </sheetView>
  </sheetViews>
  <sheetFormatPr baseColWidth="10" defaultRowHeight="16" x14ac:dyDescent="0.2"/>
  <cols>
    <col min="1" max="1" width="26.1640625" customWidth="1"/>
    <col min="2" max="2" width="19.6640625" customWidth="1"/>
    <col min="3" max="4" width="19.83203125" customWidth="1"/>
    <col min="5" max="6" width="20" customWidth="1"/>
    <col min="7" max="7" width="20.33203125" customWidth="1"/>
    <col min="8" max="8" width="20.1640625" customWidth="1"/>
    <col min="9" max="10" width="19.6640625" customWidth="1"/>
    <col min="11" max="11" width="19" customWidth="1"/>
  </cols>
  <sheetData>
    <row r="1" spans="1:11" x14ac:dyDescent="0.2">
      <c r="A1" s="6" t="s">
        <v>14</v>
      </c>
      <c r="B1" s="6" t="s">
        <v>15</v>
      </c>
      <c r="C1" s="6" t="s">
        <v>16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</row>
    <row r="2" spans="1:11" x14ac:dyDescent="0.2">
      <c r="A2" t="s">
        <v>17</v>
      </c>
      <c r="B2" s="10">
        <v>26196500000</v>
      </c>
      <c r="C2" s="10">
        <v>25615400000</v>
      </c>
      <c r="D2" s="10">
        <f>C2*0.99</f>
        <v>25359246000</v>
      </c>
      <c r="E2" s="10">
        <f>D2*0.99</f>
        <v>25105653540</v>
      </c>
      <c r="F2" s="10">
        <f>E2*1.05</f>
        <v>26360936217</v>
      </c>
      <c r="G2" s="10">
        <f>F2*1.05</f>
        <v>27678983027.850002</v>
      </c>
      <c r="H2" s="10">
        <f>G2*1.05</f>
        <v>29062932179.242504</v>
      </c>
      <c r="I2" s="10">
        <f>H2*1.03</f>
        <v>29934820144.619781</v>
      </c>
      <c r="J2" s="10">
        <f>I2*1.03</f>
        <v>30832864748.958374</v>
      </c>
    </row>
    <row r="3" spans="1:11" x14ac:dyDescent="0.2">
      <c r="A3" t="s">
        <v>18</v>
      </c>
      <c r="B3" s="10">
        <v>581200000</v>
      </c>
      <c r="C3" s="10">
        <v>1399100000</v>
      </c>
      <c r="D3" s="10">
        <f>C3*0.99</f>
        <v>1385109000</v>
      </c>
      <c r="E3" s="10">
        <f>D3*0.99</f>
        <v>1371257910</v>
      </c>
      <c r="F3" s="10">
        <f t="shared" ref="F3:H13" si="0">E3*1.05</f>
        <v>1439820805.5</v>
      </c>
      <c r="G3" s="10">
        <f t="shared" si="0"/>
        <v>1511811845.7750001</v>
      </c>
      <c r="H3" s="10">
        <f t="shared" si="0"/>
        <v>1587402438.0637503</v>
      </c>
      <c r="I3" s="10">
        <f t="shared" ref="I3:J13" si="1">H3*1.03</f>
        <v>1635024511.2056627</v>
      </c>
      <c r="J3" s="10">
        <f t="shared" si="1"/>
        <v>1684075246.5418327</v>
      </c>
    </row>
    <row r="4" spans="1:11" x14ac:dyDescent="0.2">
      <c r="A4" t="s">
        <v>19</v>
      </c>
      <c r="B4" s="10">
        <v>26777700000</v>
      </c>
      <c r="C4" s="10">
        <v>27014500000</v>
      </c>
      <c r="D4" s="10">
        <f t="shared" ref="D4:E13" si="2">C4*0.99</f>
        <v>26744355000</v>
      </c>
      <c r="E4" s="10">
        <f t="shared" si="2"/>
        <v>26476911450</v>
      </c>
      <c r="F4" s="10">
        <f t="shared" si="0"/>
        <v>27800757022.5</v>
      </c>
      <c r="G4" s="10">
        <f t="shared" si="0"/>
        <v>29190794873.625</v>
      </c>
      <c r="H4" s="10">
        <f t="shared" si="0"/>
        <v>30650334617.306252</v>
      </c>
      <c r="I4" s="10">
        <f t="shared" si="1"/>
        <v>31569844655.825439</v>
      </c>
      <c r="J4" s="10">
        <f t="shared" si="1"/>
        <v>32516939995.500202</v>
      </c>
    </row>
    <row r="5" spans="1:11" x14ac:dyDescent="0.2">
      <c r="A5" t="s">
        <v>20</v>
      </c>
      <c r="B5" s="10">
        <v>-25447000000</v>
      </c>
      <c r="C5" s="10">
        <v>-26301500000</v>
      </c>
      <c r="D5" s="10">
        <f t="shared" si="2"/>
        <v>-26038485000</v>
      </c>
      <c r="E5" s="10">
        <f t="shared" si="2"/>
        <v>-25778100150</v>
      </c>
      <c r="F5" s="10">
        <f t="shared" si="0"/>
        <v>-27067005157.5</v>
      </c>
      <c r="G5" s="10">
        <f t="shared" si="0"/>
        <v>-28420355415.375</v>
      </c>
      <c r="H5" s="10">
        <f t="shared" si="0"/>
        <v>-29841373186.143753</v>
      </c>
      <c r="I5" s="10">
        <f t="shared" si="1"/>
        <v>-30736614381.728065</v>
      </c>
      <c r="J5" s="10">
        <f t="shared" si="1"/>
        <v>-31658712813.179909</v>
      </c>
    </row>
    <row r="6" spans="1:11" x14ac:dyDescent="0.2">
      <c r="A6" t="s">
        <v>21</v>
      </c>
      <c r="B6" s="10">
        <v>1330700000</v>
      </c>
      <c r="C6" s="10">
        <v>713000000</v>
      </c>
      <c r="D6" s="10">
        <f t="shared" si="2"/>
        <v>705870000</v>
      </c>
      <c r="E6" s="10">
        <f t="shared" si="2"/>
        <v>698811300</v>
      </c>
      <c r="F6" s="10">
        <f t="shared" si="0"/>
        <v>733751865</v>
      </c>
      <c r="G6" s="10">
        <f t="shared" si="0"/>
        <v>770439458.25</v>
      </c>
      <c r="H6" s="10">
        <f t="shared" si="0"/>
        <v>808961431.16250002</v>
      </c>
      <c r="I6" s="10">
        <f t="shared" si="1"/>
        <v>833230274.09737504</v>
      </c>
      <c r="J6" s="10">
        <f t="shared" si="1"/>
        <v>858227182.32029629</v>
      </c>
    </row>
    <row r="7" spans="1:11" x14ac:dyDescent="0.2">
      <c r="A7" t="s">
        <v>22</v>
      </c>
      <c r="B7" s="10">
        <v>-371300000</v>
      </c>
      <c r="C7" s="10">
        <v>-419300000</v>
      </c>
      <c r="D7" s="10">
        <f t="shared" si="2"/>
        <v>-415107000</v>
      </c>
      <c r="E7" s="10">
        <f t="shared" si="2"/>
        <v>-410955930</v>
      </c>
      <c r="F7" s="10">
        <f t="shared" si="0"/>
        <v>-431503726.5</v>
      </c>
      <c r="G7" s="10">
        <f t="shared" si="0"/>
        <v>-453078912.82500005</v>
      </c>
      <c r="H7" s="10">
        <f t="shared" si="0"/>
        <v>-475732858.46625006</v>
      </c>
      <c r="I7" s="10">
        <f t="shared" si="1"/>
        <v>-490004844.22023755</v>
      </c>
      <c r="J7" s="10">
        <f t="shared" si="1"/>
        <v>-504704989.54684472</v>
      </c>
    </row>
    <row r="8" spans="1:11" x14ac:dyDescent="0.2">
      <c r="A8" t="s">
        <v>23</v>
      </c>
      <c r="B8" s="10">
        <v>-32900000</v>
      </c>
      <c r="C8" s="10">
        <v>-24900000</v>
      </c>
      <c r="D8" s="10">
        <f t="shared" si="2"/>
        <v>-24651000</v>
      </c>
      <c r="E8" s="10">
        <f t="shared" si="2"/>
        <v>-24404490</v>
      </c>
      <c r="F8" s="10">
        <f t="shared" si="0"/>
        <v>-25624714.5</v>
      </c>
      <c r="G8" s="10">
        <f t="shared" si="0"/>
        <v>-26905950.225000001</v>
      </c>
      <c r="H8" s="10">
        <f t="shared" si="0"/>
        <v>-28251247.736250002</v>
      </c>
      <c r="I8" s="10">
        <f t="shared" si="1"/>
        <v>-29098785.168337502</v>
      </c>
      <c r="J8" s="10">
        <f t="shared" si="1"/>
        <v>-29971748.723387629</v>
      </c>
    </row>
    <row r="9" spans="1:11" x14ac:dyDescent="0.2">
      <c r="A9" t="s">
        <v>24</v>
      </c>
      <c r="B9" s="10">
        <v>-404200000</v>
      </c>
      <c r="C9" s="10">
        <v>-444200000</v>
      </c>
      <c r="D9" s="10">
        <f t="shared" si="2"/>
        <v>-439758000</v>
      </c>
      <c r="E9" s="10">
        <f t="shared" si="2"/>
        <v>-435360420</v>
      </c>
      <c r="F9" s="10">
        <f t="shared" si="0"/>
        <v>-457128441</v>
      </c>
      <c r="G9" s="10">
        <f t="shared" si="0"/>
        <v>-479984863.05000001</v>
      </c>
      <c r="H9" s="10">
        <f t="shared" si="0"/>
        <v>-503984106.20250005</v>
      </c>
      <c r="I9" s="10">
        <f t="shared" si="1"/>
        <v>-519103629.38857508</v>
      </c>
      <c r="J9" s="10">
        <f t="shared" si="1"/>
        <v>-534676738.27023232</v>
      </c>
    </row>
    <row r="10" spans="1:11" x14ac:dyDescent="0.2">
      <c r="A10" t="s">
        <v>25</v>
      </c>
      <c r="B10" s="10">
        <v>926500000</v>
      </c>
      <c r="C10" s="10">
        <v>268800000</v>
      </c>
      <c r="D10" s="10">
        <f t="shared" si="2"/>
        <v>266112000</v>
      </c>
      <c r="E10" s="10">
        <f t="shared" si="2"/>
        <v>263450880</v>
      </c>
      <c r="F10" s="10">
        <f t="shared" si="0"/>
        <v>276623424</v>
      </c>
      <c r="G10" s="10">
        <f t="shared" si="0"/>
        <v>290454595.19999999</v>
      </c>
      <c r="H10" s="10">
        <f t="shared" si="0"/>
        <v>304977324.95999998</v>
      </c>
      <c r="I10" s="10">
        <f t="shared" si="1"/>
        <v>314126644.70879996</v>
      </c>
      <c r="J10" s="10">
        <f t="shared" si="1"/>
        <v>323550444.05006397</v>
      </c>
    </row>
    <row r="11" spans="1:11" x14ac:dyDescent="0.2">
      <c r="A11" t="s">
        <v>41</v>
      </c>
      <c r="B11" s="10">
        <f>B10*0.3</f>
        <v>277950000</v>
      </c>
      <c r="C11" s="10">
        <f t="shared" ref="C11:J11" si="3">C10*0.3</f>
        <v>80640000</v>
      </c>
      <c r="D11" s="10">
        <f t="shared" si="3"/>
        <v>79833600</v>
      </c>
      <c r="E11" s="10">
        <f t="shared" si="3"/>
        <v>79035264</v>
      </c>
      <c r="F11" s="10">
        <f t="shared" si="3"/>
        <v>82987027.200000003</v>
      </c>
      <c r="G11" s="10">
        <f t="shared" si="3"/>
        <v>87136378.559999987</v>
      </c>
      <c r="H11" s="10">
        <f t="shared" si="3"/>
        <v>91493197.487999991</v>
      </c>
      <c r="I11" s="10">
        <f t="shared" si="3"/>
        <v>94237993.41263999</v>
      </c>
      <c r="J11" s="10">
        <f t="shared" si="3"/>
        <v>97065133.215019181</v>
      </c>
    </row>
    <row r="12" spans="1:11" x14ac:dyDescent="0.2">
      <c r="A12" t="s">
        <v>26</v>
      </c>
      <c r="B12" s="10">
        <f>B10-B11</f>
        <v>648550000</v>
      </c>
      <c r="C12" s="10">
        <f>C10-C11</f>
        <v>188160000</v>
      </c>
      <c r="D12" s="10">
        <f>D10-D11</f>
        <v>186278400</v>
      </c>
      <c r="E12" s="10">
        <f t="shared" ref="E12:J12" si="4">E10-E11</f>
        <v>184415616</v>
      </c>
      <c r="F12" s="10">
        <f t="shared" si="4"/>
        <v>193636396.80000001</v>
      </c>
      <c r="G12" s="10">
        <f t="shared" si="4"/>
        <v>203318216.63999999</v>
      </c>
      <c r="H12" s="10">
        <f t="shared" si="4"/>
        <v>213484127.472</v>
      </c>
      <c r="I12" s="10">
        <f t="shared" si="4"/>
        <v>219888651.29615998</v>
      </c>
      <c r="J12" s="10">
        <f t="shared" si="4"/>
        <v>226485310.8350448</v>
      </c>
    </row>
    <row r="13" spans="1:11" x14ac:dyDescent="0.2">
      <c r="A13" t="s">
        <v>22</v>
      </c>
      <c r="B13" s="10">
        <f t="shared" ref="B13:C13" si="5">-(B7)</f>
        <v>371300000</v>
      </c>
      <c r="C13" s="10">
        <f t="shared" si="5"/>
        <v>419300000</v>
      </c>
      <c r="D13" s="10">
        <f t="shared" si="2"/>
        <v>415107000</v>
      </c>
      <c r="E13" s="10">
        <f t="shared" si="2"/>
        <v>410955930</v>
      </c>
      <c r="F13" s="10">
        <f t="shared" si="0"/>
        <v>431503726.5</v>
      </c>
      <c r="G13" s="10">
        <f t="shared" si="0"/>
        <v>453078912.82500005</v>
      </c>
      <c r="H13" s="10">
        <f t="shared" si="0"/>
        <v>475732858.46625006</v>
      </c>
      <c r="I13" s="10">
        <f t="shared" si="1"/>
        <v>490004844.22023755</v>
      </c>
      <c r="J13" s="10">
        <f t="shared" si="1"/>
        <v>504704989.54684472</v>
      </c>
    </row>
    <row r="14" spans="1:11" x14ac:dyDescent="0.2">
      <c r="A14" t="s">
        <v>27</v>
      </c>
      <c r="B14" s="10">
        <v>434200000</v>
      </c>
      <c r="C14" s="10">
        <v>767700000</v>
      </c>
      <c r="D14" s="10">
        <f>B14*1.05</f>
        <v>455910000</v>
      </c>
      <c r="E14" s="10">
        <f>D14*1.05</f>
        <v>478705500</v>
      </c>
      <c r="F14" s="10">
        <f t="shared" ref="F14:J14" si="6">E14*1.05</f>
        <v>502640775</v>
      </c>
      <c r="G14" s="10">
        <f t="shared" si="6"/>
        <v>527772813.75</v>
      </c>
      <c r="H14" s="10">
        <f t="shared" si="6"/>
        <v>554161454.4375</v>
      </c>
      <c r="I14" s="10">
        <f t="shared" si="6"/>
        <v>581869527.15937507</v>
      </c>
      <c r="J14" s="10">
        <f t="shared" si="6"/>
        <v>610963003.51734388</v>
      </c>
      <c r="K14" s="10"/>
    </row>
    <row r="15" spans="1:11" ht="19" customHeight="1" x14ac:dyDescent="0.2">
      <c r="A15" t="s">
        <v>28</v>
      </c>
      <c r="B15" s="10">
        <v>140400000</v>
      </c>
      <c r="C15" s="10">
        <v>4600000</v>
      </c>
      <c r="D15" s="10">
        <f>C15*0.99</f>
        <v>4554000</v>
      </c>
      <c r="E15" s="10">
        <f>D15*0.99</f>
        <v>4508460</v>
      </c>
      <c r="F15" s="10">
        <f>E15*1.05</f>
        <v>4733883</v>
      </c>
      <c r="G15" s="10">
        <f>F15*1.05</f>
        <v>4970577.1500000004</v>
      </c>
      <c r="H15" s="10">
        <f>G15*1.05</f>
        <v>5219106.0075000003</v>
      </c>
      <c r="I15" s="10">
        <f>H15*1.03</f>
        <v>5375679.1877250001</v>
      </c>
      <c r="J15" s="10">
        <f>I15*1.03</f>
        <v>5536949.5633567506</v>
      </c>
      <c r="K15" t="s">
        <v>40</v>
      </c>
    </row>
    <row r="16" spans="1:11" x14ac:dyDescent="0.2">
      <c r="A16" s="8" t="s">
        <v>29</v>
      </c>
      <c r="B16" s="9"/>
      <c r="C16" s="9">
        <f>C12+C13-C14-C15</f>
        <v>-164840000</v>
      </c>
      <c r="D16" s="9">
        <f t="shared" ref="D16:J16" si="7">D12+D13-D14-D15</f>
        <v>140921400</v>
      </c>
      <c r="E16" s="9">
        <f t="shared" si="7"/>
        <v>112157586</v>
      </c>
      <c r="F16" s="9">
        <f t="shared" si="7"/>
        <v>117765465.29999995</v>
      </c>
      <c r="G16" s="9">
        <f t="shared" si="7"/>
        <v>123653738.56500003</v>
      </c>
      <c r="H16" s="9">
        <f t="shared" si="7"/>
        <v>129836425.49325007</v>
      </c>
      <c r="I16" s="9">
        <f t="shared" si="7"/>
        <v>122648289.1692974</v>
      </c>
      <c r="J16" s="9">
        <f t="shared" si="7"/>
        <v>114690347.30118895</v>
      </c>
      <c r="K16" s="13">
        <f>(J16*1.03)/(A22-0.03)</f>
        <v>1351613932.725682</v>
      </c>
    </row>
    <row r="17" spans="1:11" x14ac:dyDescent="0.2">
      <c r="A17" t="s">
        <v>31</v>
      </c>
      <c r="B17" s="10"/>
      <c r="C17" s="10">
        <f>C16/(1+$A$22)</f>
        <v>-147521030.96473959</v>
      </c>
      <c r="D17" s="10">
        <f>D16/(1+$A$22)^2</f>
        <v>112865085.53105444</v>
      </c>
      <c r="E17" s="10">
        <f>E16/(1+$A$22)^3</f>
        <v>80390115.420951515</v>
      </c>
      <c r="F17" s="10">
        <f>F16/(1+$A$22)^4</f>
        <v>75541096.466797099</v>
      </c>
      <c r="G17" s="10">
        <f>G16/(1+$A$22)^5</f>
        <v>70984563.531534821</v>
      </c>
      <c r="H17" s="10">
        <f>H16/(1+$A$22)^6</f>
        <v>66702874.268938236</v>
      </c>
      <c r="I17" s="10">
        <f>I16/(1+$A$22)^7</f>
        <v>56389835.206279017</v>
      </c>
      <c r="J17" s="10">
        <f>J16/(1+$A$22)^8</f>
        <v>47190820.851871692</v>
      </c>
      <c r="K17" s="10">
        <f>K16/(1+$A$22)^8</f>
        <v>556138964.27262974</v>
      </c>
    </row>
    <row r="18" spans="1:11" x14ac:dyDescent="0.2">
      <c r="A18" t="s">
        <v>32</v>
      </c>
      <c r="B18" s="10">
        <f>SUM(C17:K17)</f>
        <v>918682324.5853169</v>
      </c>
    </row>
    <row r="21" spans="1:11" x14ac:dyDescent="0.2">
      <c r="A21" s="6" t="s">
        <v>30</v>
      </c>
      <c r="D21" s="10"/>
    </row>
    <row r="22" spans="1:11" x14ac:dyDescent="0.2">
      <c r="A22" s="3">
        <v>0.1174</v>
      </c>
    </row>
    <row r="24" spans="1:11" x14ac:dyDescent="0.2">
      <c r="A24" s="19" t="s">
        <v>61</v>
      </c>
      <c r="B24" s="18">
        <f>B18</f>
        <v>918682324.5853169</v>
      </c>
    </row>
    <row r="25" spans="1:11" x14ac:dyDescent="0.2">
      <c r="A25" s="4" t="s">
        <v>43</v>
      </c>
      <c r="B25" s="10">
        <f>2995300000-215500000</f>
        <v>2779800000</v>
      </c>
    </row>
    <row r="26" spans="1:11" x14ac:dyDescent="0.2">
      <c r="A26" t="s">
        <v>44</v>
      </c>
      <c r="B26" s="10">
        <f>B24-B25</f>
        <v>-1861117675.4146831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25F3-E26C-0D46-914B-708CABEAD05C}">
  <dimension ref="A1:K24"/>
  <sheetViews>
    <sheetView zoomScale="110" zoomScaleNormal="110" workbookViewId="0">
      <selection activeCell="E32" sqref="E32"/>
    </sheetView>
  </sheetViews>
  <sheetFormatPr baseColWidth="10" defaultRowHeight="16" x14ac:dyDescent="0.2"/>
  <cols>
    <col min="1" max="1" width="25.6640625" customWidth="1"/>
    <col min="2" max="2" width="18.5" customWidth="1"/>
    <col min="3" max="4" width="18.33203125" customWidth="1"/>
    <col min="5" max="5" width="18.5" customWidth="1"/>
    <col min="6" max="6" width="18.83203125" customWidth="1"/>
    <col min="7" max="7" width="18.33203125" customWidth="1"/>
    <col min="8" max="8" width="18.5" customWidth="1"/>
    <col min="9" max="10" width="18.33203125" customWidth="1"/>
    <col min="11" max="11" width="18.6640625" customWidth="1"/>
  </cols>
  <sheetData>
    <row r="1" spans="1:11" x14ac:dyDescent="0.2">
      <c r="A1" s="31" t="s">
        <v>14</v>
      </c>
      <c r="B1" s="31" t="s">
        <v>15</v>
      </c>
      <c r="C1" s="31" t="s">
        <v>16</v>
      </c>
      <c r="D1" s="31" t="s">
        <v>33</v>
      </c>
      <c r="E1" s="31" t="s">
        <v>34</v>
      </c>
      <c r="F1" s="31" t="s">
        <v>35</v>
      </c>
      <c r="G1" s="31" t="s">
        <v>36</v>
      </c>
      <c r="H1" s="31" t="s">
        <v>37</v>
      </c>
      <c r="I1" s="31" t="s">
        <v>38</v>
      </c>
      <c r="J1" s="31" t="s">
        <v>39</v>
      </c>
      <c r="K1" s="38"/>
    </row>
    <row r="2" spans="1:11" x14ac:dyDescent="0.2">
      <c r="A2" s="32" t="s">
        <v>62</v>
      </c>
      <c r="B2" s="33">
        <v>926500000</v>
      </c>
      <c r="C2" s="33">
        <v>268800000</v>
      </c>
      <c r="D2" s="33">
        <f>C2*(1+$B$14)</f>
        <v>322560000</v>
      </c>
      <c r="E2" s="33">
        <f t="shared" ref="E2:J2" si="0">D2*(1+$B$14)</f>
        <v>387072000</v>
      </c>
      <c r="F2" s="33">
        <f t="shared" si="0"/>
        <v>464486400</v>
      </c>
      <c r="G2" s="33">
        <f t="shared" si="0"/>
        <v>557383680</v>
      </c>
      <c r="H2" s="33">
        <f t="shared" si="0"/>
        <v>668860416</v>
      </c>
      <c r="I2" s="33">
        <f t="shared" si="0"/>
        <v>802632499.19999993</v>
      </c>
      <c r="J2" s="33">
        <f t="shared" si="0"/>
        <v>963158999.03999984</v>
      </c>
      <c r="K2" s="37"/>
    </row>
    <row r="3" spans="1:11" x14ac:dyDescent="0.2">
      <c r="A3" s="32" t="s">
        <v>41</v>
      </c>
      <c r="B3" s="33">
        <f>B2*0.3</f>
        <v>277950000</v>
      </c>
      <c r="C3" s="33">
        <f t="shared" ref="C3:J3" si="1">C2*0.3</f>
        <v>80640000</v>
      </c>
      <c r="D3" s="33">
        <f t="shared" si="1"/>
        <v>96768000</v>
      </c>
      <c r="E3" s="33">
        <f t="shared" si="1"/>
        <v>116121600</v>
      </c>
      <c r="F3" s="33">
        <f t="shared" si="1"/>
        <v>139345920</v>
      </c>
      <c r="G3" s="33">
        <f t="shared" si="1"/>
        <v>167215104</v>
      </c>
      <c r="H3" s="33">
        <f t="shared" si="1"/>
        <v>200658124.79999998</v>
      </c>
      <c r="I3" s="33">
        <f t="shared" si="1"/>
        <v>240789749.75999996</v>
      </c>
      <c r="J3" s="33">
        <f t="shared" si="1"/>
        <v>288947699.71199995</v>
      </c>
      <c r="K3" s="37"/>
    </row>
    <row r="4" spans="1:11" x14ac:dyDescent="0.2">
      <c r="A4" s="32" t="s">
        <v>26</v>
      </c>
      <c r="B4" s="33">
        <f>B2-B3</f>
        <v>648550000</v>
      </c>
      <c r="C4" s="33">
        <f t="shared" ref="C4:J4" si="2">C2-C3</f>
        <v>188160000</v>
      </c>
      <c r="D4" s="33">
        <f t="shared" si="2"/>
        <v>225792000</v>
      </c>
      <c r="E4" s="33">
        <f t="shared" si="2"/>
        <v>270950400</v>
      </c>
      <c r="F4" s="33">
        <f t="shared" si="2"/>
        <v>325140480</v>
      </c>
      <c r="G4" s="33">
        <f t="shared" si="2"/>
        <v>390168576</v>
      </c>
      <c r="H4" s="33">
        <f t="shared" si="2"/>
        <v>468202291.20000005</v>
      </c>
      <c r="I4" s="33">
        <f t="shared" si="2"/>
        <v>561842749.43999994</v>
      </c>
      <c r="J4" s="33">
        <f t="shared" si="2"/>
        <v>674211299.32799983</v>
      </c>
      <c r="K4" s="37"/>
    </row>
    <row r="5" spans="1:11" x14ac:dyDescent="0.2">
      <c r="A5" s="32" t="s">
        <v>22</v>
      </c>
      <c r="B5" s="33">
        <v>371300000</v>
      </c>
      <c r="C5" s="33">
        <v>419300000</v>
      </c>
      <c r="D5" s="33">
        <v>415107000</v>
      </c>
      <c r="E5" s="33">
        <v>410955930</v>
      </c>
      <c r="F5" s="33">
        <v>431503726.5</v>
      </c>
      <c r="G5" s="33">
        <v>453078912.82999998</v>
      </c>
      <c r="H5" s="33">
        <v>475732858.47000003</v>
      </c>
      <c r="I5" s="33">
        <v>490004844.22000003</v>
      </c>
      <c r="J5" s="33">
        <v>504704989.55000001</v>
      </c>
      <c r="K5" s="37"/>
    </row>
    <row r="6" spans="1:11" x14ac:dyDescent="0.2">
      <c r="A6" s="32" t="s">
        <v>27</v>
      </c>
      <c r="B6" s="33">
        <v>434200000</v>
      </c>
      <c r="C6" s="33">
        <v>767700000</v>
      </c>
      <c r="D6" s="33">
        <v>455910000</v>
      </c>
      <c r="E6" s="33">
        <v>478705500</v>
      </c>
      <c r="F6" s="33">
        <v>502640775</v>
      </c>
      <c r="G6" s="33">
        <v>527772813.75</v>
      </c>
      <c r="H6" s="33">
        <v>554161454.44000006</v>
      </c>
      <c r="I6" s="33">
        <v>581869527.15999997</v>
      </c>
      <c r="J6" s="33">
        <v>610963003.51999998</v>
      </c>
      <c r="K6" s="39"/>
    </row>
    <row r="7" spans="1:11" x14ac:dyDescent="0.2">
      <c r="A7" s="32" t="s">
        <v>28</v>
      </c>
      <c r="B7" s="33">
        <v>140400000</v>
      </c>
      <c r="C7" s="33">
        <v>4600000</v>
      </c>
      <c r="D7" s="33">
        <v>4554000</v>
      </c>
      <c r="E7" s="33">
        <v>4508460</v>
      </c>
      <c r="F7" s="33">
        <v>4733883</v>
      </c>
      <c r="G7" s="33">
        <v>4970577.1500000004</v>
      </c>
      <c r="H7" s="33">
        <v>5219106.01</v>
      </c>
      <c r="I7" s="33">
        <v>5375679.1900000004</v>
      </c>
      <c r="J7" s="33">
        <v>5536949.5599999996</v>
      </c>
      <c r="K7" s="32" t="s">
        <v>40</v>
      </c>
    </row>
    <row r="8" spans="1:11" x14ac:dyDescent="0.2">
      <c r="A8" s="34" t="s">
        <v>29</v>
      </c>
      <c r="B8" s="35"/>
      <c r="C8" s="36">
        <f>C4+C5-C6-C7</f>
        <v>-164840000</v>
      </c>
      <c r="D8" s="36">
        <f t="shared" ref="D8:J8" si="3">D4+D5-D6-D7</f>
        <v>180435000</v>
      </c>
      <c r="E8" s="36">
        <f t="shared" si="3"/>
        <v>198692370</v>
      </c>
      <c r="F8" s="36">
        <f t="shared" si="3"/>
        <v>249269548.5</v>
      </c>
      <c r="G8" s="36">
        <f t="shared" si="3"/>
        <v>310504097.92999995</v>
      </c>
      <c r="H8" s="36">
        <f t="shared" si="3"/>
        <v>384554589.22000003</v>
      </c>
      <c r="I8" s="36">
        <f t="shared" si="3"/>
        <v>464602387.31</v>
      </c>
      <c r="J8" s="36">
        <f t="shared" si="3"/>
        <v>562416335.79799986</v>
      </c>
      <c r="K8" s="36">
        <f>(J8*1.03)/(A14-0.03)</f>
        <v>14198255536.076958</v>
      </c>
    </row>
    <row r="9" spans="1:11" x14ac:dyDescent="0.2">
      <c r="A9" s="32" t="s">
        <v>31</v>
      </c>
      <c r="B9" s="33"/>
      <c r="C9" s="33">
        <f>C8/(1+$A$14)</f>
        <v>-153940978.70750841</v>
      </c>
      <c r="D9" s="33">
        <f>D8/(1+$A$14)^2</f>
        <v>157363519.03464106</v>
      </c>
      <c r="E9" s="33">
        <f>E8/(1+$A$14)^3</f>
        <v>161828907.60298264</v>
      </c>
      <c r="F9" s="33">
        <f>F8/(1+$A$14)^4</f>
        <v>189598884.12712702</v>
      </c>
      <c r="G9" s="33">
        <f>G8/(1+$A$14)^5</f>
        <v>220559375.61598945</v>
      </c>
      <c r="H9" s="33">
        <f>H8/(1+$A$14)^6</f>
        <v>255098452.13455498</v>
      </c>
      <c r="I9" s="33">
        <f>I8/(1+$A$14)^7</f>
        <v>287821279.46428776</v>
      </c>
      <c r="J9" s="33">
        <f>J8/(1+$A$14)^8</f>
        <v>325380128.61089808</v>
      </c>
      <c r="K9" s="33">
        <f>K8/(1+$A$14)^8</f>
        <v>8214253246.7947311</v>
      </c>
    </row>
    <row r="10" spans="1:11" x14ac:dyDescent="0.2">
      <c r="A10" s="32" t="s">
        <v>32</v>
      </c>
      <c r="B10" s="33">
        <f>SUM(C9:K9)</f>
        <v>9657962814.6777039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1:1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7" thickBo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">
      <c r="A13" s="29" t="s">
        <v>30</v>
      </c>
      <c r="B13" s="20" t="s">
        <v>65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7" thickBot="1" x14ac:dyDescent="0.25">
      <c r="A14" s="30">
        <v>7.0800000000000002E-2</v>
      </c>
      <c r="B14" s="22">
        <v>0.2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7" thickBo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">
      <c r="A16" s="23" t="s">
        <v>61</v>
      </c>
      <c r="B16" s="24">
        <f>B10</f>
        <v>9657962814.6777039</v>
      </c>
      <c r="C16" s="44"/>
      <c r="D16" s="22"/>
      <c r="E16" s="22"/>
      <c r="F16" s="22"/>
      <c r="G16" s="22"/>
      <c r="H16" s="22"/>
      <c r="I16" s="22"/>
      <c r="J16" s="20"/>
      <c r="K16" s="20"/>
    </row>
    <row r="17" spans="1:11" x14ac:dyDescent="0.2">
      <c r="A17" s="25" t="s">
        <v>43</v>
      </c>
      <c r="B17" s="26">
        <v>2779800000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7" thickBot="1" x14ac:dyDescent="0.25">
      <c r="A18" s="27" t="s">
        <v>44</v>
      </c>
      <c r="B18" s="28">
        <f>B16-B17</f>
        <v>6878162814.6777039</v>
      </c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">
      <c r="A19" s="40" t="s">
        <v>63</v>
      </c>
      <c r="B19" s="41">
        <f>1544.17*1000000</f>
        <v>1544170000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7" customHeight="1" thickBot="1" x14ac:dyDescent="0.25">
      <c r="A20" s="42" t="s">
        <v>64</v>
      </c>
      <c r="B20" s="43">
        <f>B18/B19</f>
        <v>4.4542782301674713</v>
      </c>
    </row>
    <row r="21" spans="1:11" ht="17" thickBot="1" x14ac:dyDescent="0.25"/>
    <row r="22" spans="1:11" x14ac:dyDescent="0.2">
      <c r="A22" s="54" t="s">
        <v>67</v>
      </c>
      <c r="B22" s="55"/>
      <c r="C22" s="55"/>
      <c r="D22" s="55"/>
      <c r="E22" s="55"/>
      <c r="F22" s="55"/>
      <c r="G22" s="55"/>
      <c r="H22" s="56"/>
    </row>
    <row r="23" spans="1:11" x14ac:dyDescent="0.2">
      <c r="A23" s="49" t="s">
        <v>68</v>
      </c>
      <c r="B23" s="47">
        <v>0.05</v>
      </c>
      <c r="C23" s="47">
        <v>0.1</v>
      </c>
      <c r="D23" s="47">
        <v>0.15</v>
      </c>
      <c r="E23" s="48">
        <v>0.18</v>
      </c>
      <c r="F23" s="57">
        <v>0.2</v>
      </c>
      <c r="G23" s="47">
        <v>0.25</v>
      </c>
      <c r="H23" s="50">
        <v>0.3</v>
      </c>
    </row>
    <row r="24" spans="1:11" ht="17" thickBot="1" x14ac:dyDescent="0.25">
      <c r="A24" s="51" t="s">
        <v>64</v>
      </c>
      <c r="B24" s="52">
        <v>0.03</v>
      </c>
      <c r="C24" s="52">
        <v>1.1399999999999999</v>
      </c>
      <c r="D24" s="52">
        <v>2.59</v>
      </c>
      <c r="E24" s="52">
        <v>3.65</v>
      </c>
      <c r="F24" s="58">
        <v>4.45</v>
      </c>
      <c r="G24" s="52">
        <v>6.83</v>
      </c>
      <c r="H24" s="53">
        <v>9.82</v>
      </c>
    </row>
  </sheetData>
  <mergeCells count="1">
    <mergeCell ref="A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A9C4-A83C-8640-B71B-7E0BB94192E1}">
  <dimension ref="A1:K27"/>
  <sheetViews>
    <sheetView zoomScale="111" zoomScaleNormal="108" workbookViewId="0">
      <selection activeCell="D25" sqref="D25"/>
    </sheetView>
  </sheetViews>
  <sheetFormatPr baseColWidth="10" defaultRowHeight="16" x14ac:dyDescent="0.2"/>
  <cols>
    <col min="1" max="1" width="26.1640625" customWidth="1"/>
    <col min="2" max="2" width="19.6640625" customWidth="1"/>
    <col min="3" max="4" width="19.83203125" customWidth="1"/>
    <col min="5" max="6" width="20" customWidth="1"/>
    <col min="7" max="7" width="20.33203125" customWidth="1"/>
    <col min="8" max="8" width="20.1640625" customWidth="1"/>
    <col min="9" max="10" width="19.6640625" customWidth="1"/>
    <col min="11" max="11" width="19" customWidth="1"/>
  </cols>
  <sheetData>
    <row r="1" spans="1:11" x14ac:dyDescent="0.2">
      <c r="A1" s="6" t="s">
        <v>14</v>
      </c>
      <c r="B1" s="6" t="s">
        <v>15</v>
      </c>
      <c r="C1" s="6" t="s">
        <v>16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</row>
    <row r="2" spans="1:11" x14ac:dyDescent="0.2">
      <c r="A2" t="s">
        <v>17</v>
      </c>
      <c r="B2" s="10">
        <v>26196500000</v>
      </c>
      <c r="C2" s="10">
        <v>25615400000</v>
      </c>
      <c r="D2" s="10">
        <f>C2*0.99</f>
        <v>25359246000</v>
      </c>
      <c r="E2" s="10">
        <f>D2*0.99</f>
        <v>25105653540</v>
      </c>
      <c r="F2" s="10">
        <f>E2*1.05</f>
        <v>26360936217</v>
      </c>
      <c r="G2" s="10">
        <f>F2*1.05</f>
        <v>27678983027.850002</v>
      </c>
      <c r="H2" s="10">
        <f>G2*1.05</f>
        <v>29062932179.242504</v>
      </c>
      <c r="I2" s="10">
        <f>H2*1.03</f>
        <v>29934820144.619781</v>
      </c>
      <c r="J2" s="10">
        <f>I2*1.03</f>
        <v>30832864748.958374</v>
      </c>
    </row>
    <row r="3" spans="1:11" x14ac:dyDescent="0.2">
      <c r="A3" t="s">
        <v>18</v>
      </c>
      <c r="B3" s="10">
        <v>581200000</v>
      </c>
      <c r="C3" s="10">
        <v>1399100000</v>
      </c>
      <c r="D3" s="10">
        <f>C3*0.99</f>
        <v>1385109000</v>
      </c>
      <c r="E3" s="10">
        <f>D3*0.99</f>
        <v>1371257910</v>
      </c>
      <c r="F3" s="10">
        <f t="shared" ref="F3:J15" si="0">E3*1.05</f>
        <v>1439820805.5</v>
      </c>
      <c r="G3" s="10">
        <f t="shared" si="0"/>
        <v>1511811845.7750001</v>
      </c>
      <c r="H3" s="10">
        <f t="shared" si="0"/>
        <v>1587402438.0637503</v>
      </c>
      <c r="I3" s="10">
        <f t="shared" ref="I3:J14" si="1">H3*1.03</f>
        <v>1635024511.2056627</v>
      </c>
      <c r="J3" s="10">
        <f t="shared" si="1"/>
        <v>1684075246.5418327</v>
      </c>
    </row>
    <row r="4" spans="1:11" x14ac:dyDescent="0.2">
      <c r="A4" t="s">
        <v>19</v>
      </c>
      <c r="B4" s="10">
        <v>26777700000</v>
      </c>
      <c r="C4" s="10">
        <v>27014500000</v>
      </c>
      <c r="D4" s="10">
        <f t="shared" ref="D4:E14" si="2">C4*0.99</f>
        <v>26744355000</v>
      </c>
      <c r="E4" s="10">
        <f t="shared" si="2"/>
        <v>26476911450</v>
      </c>
      <c r="F4" s="10">
        <f t="shared" si="0"/>
        <v>27800757022.5</v>
      </c>
      <c r="G4" s="10">
        <f t="shared" si="0"/>
        <v>29190794873.625</v>
      </c>
      <c r="H4" s="10">
        <f t="shared" si="0"/>
        <v>30650334617.306252</v>
      </c>
      <c r="I4" s="10">
        <f t="shared" si="1"/>
        <v>31569844655.825439</v>
      </c>
      <c r="J4" s="10">
        <f t="shared" si="1"/>
        <v>32516939995.500202</v>
      </c>
    </row>
    <row r="5" spans="1:11" x14ac:dyDescent="0.2">
      <c r="A5" t="s">
        <v>20</v>
      </c>
      <c r="B5" s="10">
        <v>-25447000000</v>
      </c>
      <c r="C5" s="10">
        <v>-26301500000</v>
      </c>
      <c r="D5" s="10">
        <f t="shared" si="2"/>
        <v>-26038485000</v>
      </c>
      <c r="E5" s="10">
        <f t="shared" si="2"/>
        <v>-25778100150</v>
      </c>
      <c r="F5" s="10">
        <f t="shared" si="0"/>
        <v>-27067005157.5</v>
      </c>
      <c r="G5" s="10">
        <f t="shared" si="0"/>
        <v>-28420355415.375</v>
      </c>
      <c r="H5" s="10">
        <f t="shared" si="0"/>
        <v>-29841373186.143753</v>
      </c>
      <c r="I5" s="10">
        <f t="shared" si="1"/>
        <v>-30736614381.728065</v>
      </c>
      <c r="J5" s="10">
        <f t="shared" si="1"/>
        <v>-31658712813.179909</v>
      </c>
    </row>
    <row r="6" spans="1:11" x14ac:dyDescent="0.2">
      <c r="A6" t="s">
        <v>21</v>
      </c>
      <c r="B6" s="10">
        <v>1330700000</v>
      </c>
      <c r="C6" s="10">
        <v>713000000</v>
      </c>
      <c r="D6" s="10">
        <f t="shared" si="2"/>
        <v>705870000</v>
      </c>
      <c r="E6" s="10">
        <f t="shared" si="2"/>
        <v>698811300</v>
      </c>
      <c r="F6" s="10">
        <f t="shared" si="0"/>
        <v>733751865</v>
      </c>
      <c r="G6" s="10">
        <f t="shared" si="0"/>
        <v>770439458.25</v>
      </c>
      <c r="H6" s="10">
        <f t="shared" si="0"/>
        <v>808961431.16250002</v>
      </c>
      <c r="I6" s="10">
        <f t="shared" si="1"/>
        <v>833230274.09737504</v>
      </c>
      <c r="J6" s="10">
        <f t="shared" si="1"/>
        <v>858227182.32029629</v>
      </c>
    </row>
    <row r="7" spans="1:11" x14ac:dyDescent="0.2">
      <c r="A7" t="s">
        <v>22</v>
      </c>
      <c r="B7" s="10">
        <v>-371300000</v>
      </c>
      <c r="C7" s="10">
        <v>-419300000</v>
      </c>
      <c r="D7" s="10">
        <f t="shared" si="2"/>
        <v>-415107000</v>
      </c>
      <c r="E7" s="10">
        <f t="shared" si="2"/>
        <v>-410955930</v>
      </c>
      <c r="F7" s="10">
        <f t="shared" si="0"/>
        <v>-431503726.5</v>
      </c>
      <c r="G7" s="10">
        <f t="shared" si="0"/>
        <v>-453078912.82500005</v>
      </c>
      <c r="H7" s="10">
        <f t="shared" si="0"/>
        <v>-475732858.46625006</v>
      </c>
      <c r="I7" s="10">
        <f t="shared" si="1"/>
        <v>-490004844.22023755</v>
      </c>
      <c r="J7" s="10">
        <f t="shared" si="1"/>
        <v>-504704989.54684472</v>
      </c>
    </row>
    <row r="8" spans="1:11" x14ac:dyDescent="0.2">
      <c r="A8" t="s">
        <v>23</v>
      </c>
      <c r="B8" s="10">
        <v>-32900000</v>
      </c>
      <c r="C8" s="10">
        <v>-24900000</v>
      </c>
      <c r="D8" s="10">
        <f t="shared" si="2"/>
        <v>-24651000</v>
      </c>
      <c r="E8" s="10">
        <f t="shared" si="2"/>
        <v>-24404490</v>
      </c>
      <c r="F8" s="10">
        <f t="shared" si="0"/>
        <v>-25624714.5</v>
      </c>
      <c r="G8" s="10">
        <f t="shared" si="0"/>
        <v>-26905950.225000001</v>
      </c>
      <c r="H8" s="10">
        <f t="shared" si="0"/>
        <v>-28251247.736250002</v>
      </c>
      <c r="I8" s="10">
        <f t="shared" si="1"/>
        <v>-29098785.168337502</v>
      </c>
      <c r="J8" s="10">
        <f t="shared" si="1"/>
        <v>-29971748.723387629</v>
      </c>
    </row>
    <row r="9" spans="1:11" x14ac:dyDescent="0.2">
      <c r="A9" t="s">
        <v>24</v>
      </c>
      <c r="B9" s="10">
        <v>-404200000</v>
      </c>
      <c r="C9" s="10">
        <v>-444200000</v>
      </c>
      <c r="D9" s="10">
        <f t="shared" si="2"/>
        <v>-439758000</v>
      </c>
      <c r="E9" s="10">
        <f t="shared" si="2"/>
        <v>-435360420</v>
      </c>
      <c r="F9" s="10">
        <f t="shared" si="0"/>
        <v>-457128441</v>
      </c>
      <c r="G9" s="10">
        <f t="shared" si="0"/>
        <v>-479984863.05000001</v>
      </c>
      <c r="H9" s="10">
        <f t="shared" si="0"/>
        <v>-503984106.20250005</v>
      </c>
      <c r="I9" s="10">
        <f t="shared" si="1"/>
        <v>-519103629.38857508</v>
      </c>
      <c r="J9" s="10">
        <f t="shared" si="1"/>
        <v>-534676738.27023232</v>
      </c>
    </row>
    <row r="10" spans="1:11" x14ac:dyDescent="0.2">
      <c r="A10" t="s">
        <v>25</v>
      </c>
      <c r="B10" s="10">
        <v>926500000</v>
      </c>
      <c r="C10" s="10">
        <v>268800000</v>
      </c>
      <c r="D10" s="10">
        <f t="shared" si="2"/>
        <v>266112000</v>
      </c>
      <c r="E10" s="10">
        <f t="shared" si="2"/>
        <v>263450880</v>
      </c>
      <c r="F10" s="10">
        <f t="shared" si="0"/>
        <v>276623424</v>
      </c>
      <c r="G10" s="10">
        <f t="shared" si="0"/>
        <v>290454595.19999999</v>
      </c>
      <c r="H10" s="10">
        <f t="shared" si="0"/>
        <v>304977324.95999998</v>
      </c>
      <c r="I10" s="10">
        <f t="shared" si="1"/>
        <v>314126644.70879996</v>
      </c>
      <c r="J10" s="10">
        <f t="shared" si="1"/>
        <v>323550444.05006397</v>
      </c>
    </row>
    <row r="11" spans="1:11" x14ac:dyDescent="0.2">
      <c r="A11" t="s">
        <v>45</v>
      </c>
      <c r="B11" s="10">
        <v>208300000</v>
      </c>
      <c r="C11" s="10">
        <v>249300000</v>
      </c>
      <c r="D11" s="10">
        <f>C11*0.99</f>
        <v>246807000</v>
      </c>
      <c r="E11" s="10">
        <f t="shared" ref="E11" si="3">D11*0.99</f>
        <v>244338930</v>
      </c>
      <c r="F11" s="10">
        <f>E11*1.05</f>
        <v>256555876.5</v>
      </c>
      <c r="G11" s="10">
        <f t="shared" ref="G11:H11" si="4">F11*1.05</f>
        <v>269383670.32499999</v>
      </c>
      <c r="H11" s="10">
        <f t="shared" si="4"/>
        <v>282852853.84125</v>
      </c>
      <c r="I11" s="10">
        <f>H11*1.03</f>
        <v>291338439.45648754</v>
      </c>
      <c r="J11" s="10">
        <f>I11*1.03</f>
        <v>300078592.6401822</v>
      </c>
    </row>
    <row r="12" spans="1:11" x14ac:dyDescent="0.2">
      <c r="A12" t="s">
        <v>46</v>
      </c>
      <c r="B12" s="10">
        <f>B10-B11</f>
        <v>718200000</v>
      </c>
      <c r="C12" s="10">
        <f t="shared" ref="C12:J12" si="5">C10-C11</f>
        <v>19500000</v>
      </c>
      <c r="D12" s="10">
        <f t="shared" si="5"/>
        <v>19305000</v>
      </c>
      <c r="E12" s="10">
        <f t="shared" si="5"/>
        <v>19111950</v>
      </c>
      <c r="F12" s="10">
        <f t="shared" si="5"/>
        <v>20067547.5</v>
      </c>
      <c r="G12" s="10">
        <f t="shared" si="5"/>
        <v>21070924.875</v>
      </c>
      <c r="H12" s="10">
        <f t="shared" si="5"/>
        <v>22124471.118749976</v>
      </c>
      <c r="I12" s="10">
        <f t="shared" si="5"/>
        <v>22788205.252312422</v>
      </c>
      <c r="J12" s="10">
        <f t="shared" si="5"/>
        <v>23471851.409881771</v>
      </c>
    </row>
    <row r="13" spans="1:11" x14ac:dyDescent="0.2">
      <c r="A13" t="s">
        <v>47</v>
      </c>
      <c r="B13" s="10">
        <f>B12*0.7</f>
        <v>502739999.99999994</v>
      </c>
      <c r="C13" s="10">
        <f t="shared" ref="C13:J13" si="6">C12*0.7</f>
        <v>13650000</v>
      </c>
      <c r="D13" s="10">
        <f t="shared" si="6"/>
        <v>13513500</v>
      </c>
      <c r="E13" s="10">
        <f t="shared" si="6"/>
        <v>13378365</v>
      </c>
      <c r="F13" s="10">
        <f t="shared" si="6"/>
        <v>14047283.25</v>
      </c>
      <c r="G13" s="10">
        <f t="shared" si="6"/>
        <v>14749647.4125</v>
      </c>
      <c r="H13" s="10">
        <f t="shared" si="6"/>
        <v>15487129.783124981</v>
      </c>
      <c r="I13" s="10">
        <f t="shared" si="6"/>
        <v>15951743.676618693</v>
      </c>
      <c r="J13" s="10">
        <f t="shared" si="6"/>
        <v>16430295.986917239</v>
      </c>
    </row>
    <row r="14" spans="1:11" x14ac:dyDescent="0.2">
      <c r="A14" t="s">
        <v>22</v>
      </c>
      <c r="B14" s="10">
        <f t="shared" ref="B14:C14" si="7">-(B7)</f>
        <v>371300000</v>
      </c>
      <c r="C14" s="10">
        <f t="shared" si="7"/>
        <v>419300000</v>
      </c>
      <c r="D14" s="10">
        <f t="shared" si="2"/>
        <v>415107000</v>
      </c>
      <c r="E14" s="10">
        <f t="shared" si="2"/>
        <v>410955930</v>
      </c>
      <c r="F14" s="10">
        <f t="shared" si="0"/>
        <v>431503726.5</v>
      </c>
      <c r="G14" s="10">
        <f t="shared" si="0"/>
        <v>453078912.82500005</v>
      </c>
      <c r="H14" s="10">
        <f t="shared" si="0"/>
        <v>475732858.46625006</v>
      </c>
      <c r="I14" s="10">
        <f t="shared" si="1"/>
        <v>490004844.22023755</v>
      </c>
      <c r="J14" s="10">
        <f t="shared" si="1"/>
        <v>504704989.54684472</v>
      </c>
    </row>
    <row r="15" spans="1:11" x14ac:dyDescent="0.2">
      <c r="A15" t="s">
        <v>27</v>
      </c>
      <c r="B15" s="10">
        <v>434200000</v>
      </c>
      <c r="C15" s="10">
        <v>767700000</v>
      </c>
      <c r="D15" s="10">
        <f>B15*1.05</f>
        <v>455910000</v>
      </c>
      <c r="E15" s="10">
        <f>D15*1.05</f>
        <v>478705500</v>
      </c>
      <c r="F15" s="10">
        <f t="shared" si="0"/>
        <v>502640775</v>
      </c>
      <c r="G15" s="10">
        <f t="shared" si="0"/>
        <v>527772813.75</v>
      </c>
      <c r="H15" s="10">
        <f t="shared" si="0"/>
        <v>554161454.4375</v>
      </c>
      <c r="I15" s="10">
        <f t="shared" si="0"/>
        <v>581869527.15937507</v>
      </c>
      <c r="J15" s="10">
        <f t="shared" si="0"/>
        <v>610963003.51734388</v>
      </c>
      <c r="K15" s="10"/>
    </row>
    <row r="16" spans="1:11" ht="19" customHeight="1" x14ac:dyDescent="0.2">
      <c r="A16" t="s">
        <v>28</v>
      </c>
      <c r="B16" s="10">
        <v>140400000</v>
      </c>
      <c r="C16" s="10">
        <v>4600000</v>
      </c>
      <c r="D16" s="10">
        <f>C16*0.99</f>
        <v>4554000</v>
      </c>
      <c r="E16" s="10">
        <f>D16*0.99</f>
        <v>4508460</v>
      </c>
      <c r="F16" s="10">
        <f>E16*1.05</f>
        <v>4733883</v>
      </c>
      <c r="G16" s="10">
        <f>F16*1.05</f>
        <v>4970577.1500000004</v>
      </c>
      <c r="H16" s="10">
        <f>G16*1.05</f>
        <v>5219106.0075000003</v>
      </c>
      <c r="I16" s="10">
        <f>H16*1.03</f>
        <v>5375679.1877250001</v>
      </c>
      <c r="J16" s="10">
        <f>I16*1.03</f>
        <v>5536949.5633567506</v>
      </c>
      <c r="K16" t="s">
        <v>40</v>
      </c>
    </row>
    <row r="17" spans="1:11" x14ac:dyDescent="0.2">
      <c r="A17" s="8" t="s">
        <v>29</v>
      </c>
      <c r="B17" s="9"/>
      <c r="C17" s="9">
        <f>C12+C14-C15-C16</f>
        <v>-333500000</v>
      </c>
      <c r="D17" s="9">
        <f t="shared" ref="D17:J17" si="8">D12+D14-D15-D16</f>
        <v>-26052000</v>
      </c>
      <c r="E17" s="9">
        <f t="shared" si="8"/>
        <v>-53146080</v>
      </c>
      <c r="F17" s="9">
        <f t="shared" si="8"/>
        <v>-55803384</v>
      </c>
      <c r="G17" s="9">
        <f t="shared" si="8"/>
        <v>-58593553.199999951</v>
      </c>
      <c r="H17" s="9">
        <f t="shared" si="8"/>
        <v>-61523230.859999962</v>
      </c>
      <c r="I17" s="9">
        <f t="shared" si="8"/>
        <v>-74452156.874550104</v>
      </c>
      <c r="J17" s="9">
        <f t="shared" si="8"/>
        <v>-88323112.123974144</v>
      </c>
      <c r="K17" s="13">
        <f>(J17*1.03)/(A23-0.03)</f>
        <v>-1040878781.3237227</v>
      </c>
    </row>
    <row r="18" spans="1:11" x14ac:dyDescent="0.2">
      <c r="A18" t="s">
        <v>31</v>
      </c>
      <c r="B18" s="10"/>
      <c r="C18" s="10">
        <f>C17/(1+$A$23)</f>
        <v>-298460712.36799717</v>
      </c>
      <c r="D18" s="10">
        <f>D17/(1+$A$23)^2</f>
        <v>-20865256.861307297</v>
      </c>
      <c r="E18" s="10">
        <f>E17/(1+$A$23)^3</f>
        <v>-38093005.187996142</v>
      </c>
      <c r="F18" s="10">
        <f>F17/(1+$A$23)^4</f>
        <v>-35795288.569353811</v>
      </c>
      <c r="G18" s="10">
        <f>G17/(1+$A$23)^5</f>
        <v>-33636166.992859744</v>
      </c>
      <c r="H18" s="10">
        <f>H17/(1+$A$23)^6</f>
        <v>-31607280.600056145</v>
      </c>
      <c r="I18" s="10">
        <f>I17/(1+$A$23)^7</f>
        <v>-34230765.755833201</v>
      </c>
      <c r="J18" s="10">
        <f>J17/(1+$A$23)^8</f>
        <v>-36341682.272323467</v>
      </c>
      <c r="K18" s="10">
        <f>K17/(1+$A$23)^8</f>
        <v>-428282983.30083722</v>
      </c>
    </row>
    <row r="19" spans="1:11" x14ac:dyDescent="0.2">
      <c r="A19" t="s">
        <v>32</v>
      </c>
      <c r="B19" s="10">
        <f>SUM(C18:K18)</f>
        <v>-957313141.90856433</v>
      </c>
    </row>
    <row r="22" spans="1:11" x14ac:dyDescent="0.2">
      <c r="A22" s="6" t="s">
        <v>30</v>
      </c>
    </row>
    <row r="23" spans="1:11" x14ac:dyDescent="0.2">
      <c r="A23" s="3">
        <v>0.1174</v>
      </c>
    </row>
    <row r="25" spans="1:11" x14ac:dyDescent="0.2">
      <c r="A25" t="s">
        <v>42</v>
      </c>
      <c r="B25" s="10">
        <f>B19</f>
        <v>-957313141.90856433</v>
      </c>
    </row>
    <row r="26" spans="1:11" x14ac:dyDescent="0.2">
      <c r="A26" s="4" t="s">
        <v>43</v>
      </c>
      <c r="B26" s="10">
        <f>2995300000-215500000</f>
        <v>2779800000</v>
      </c>
    </row>
    <row r="27" spans="1:11" x14ac:dyDescent="0.2">
      <c r="A27" t="s">
        <v>44</v>
      </c>
      <c r="B27" s="10">
        <f>B25-B26</f>
        <v>-3737113141.9085646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A16F-0822-5348-B223-3A1BD50FFF32}">
  <dimension ref="A1:C20"/>
  <sheetViews>
    <sheetView zoomScale="150" zoomScaleNormal="150" workbookViewId="0">
      <selection activeCell="G11" sqref="G11"/>
    </sheetView>
  </sheetViews>
  <sheetFormatPr baseColWidth="10" defaultRowHeight="16" x14ac:dyDescent="0.2"/>
  <cols>
    <col min="1" max="1" width="30.1640625" customWidth="1"/>
    <col min="2" max="2" width="19.6640625" customWidth="1"/>
    <col min="3" max="3" width="10.6640625" customWidth="1"/>
  </cols>
  <sheetData>
    <row r="1" spans="1:3" x14ac:dyDescent="0.2">
      <c r="A1" s="14" t="s">
        <v>48</v>
      </c>
      <c r="B1" s="14" t="s">
        <v>49</v>
      </c>
      <c r="C1" s="14" t="s">
        <v>50</v>
      </c>
    </row>
    <row r="2" spans="1:3" x14ac:dyDescent="0.2">
      <c r="A2" s="15" t="s">
        <v>51</v>
      </c>
      <c r="B2" s="16">
        <v>6.16</v>
      </c>
      <c r="C2" s="16">
        <v>13.64</v>
      </c>
    </row>
    <row r="3" spans="1:3" x14ac:dyDescent="0.2">
      <c r="A3" s="15" t="s">
        <v>52</v>
      </c>
      <c r="B3" s="16">
        <v>9.74</v>
      </c>
      <c r="C3" s="16">
        <v>14.38</v>
      </c>
    </row>
    <row r="4" spans="1:3" x14ac:dyDescent="0.2">
      <c r="A4" s="15" t="s">
        <v>53</v>
      </c>
      <c r="B4" s="16">
        <v>5.56</v>
      </c>
      <c r="C4" s="16">
        <v>5.75</v>
      </c>
    </row>
    <row r="5" spans="1:3" x14ac:dyDescent="0.2">
      <c r="A5" s="15" t="s">
        <v>54</v>
      </c>
      <c r="B5" s="16">
        <v>5.44</v>
      </c>
      <c r="C5" s="16">
        <v>10.42</v>
      </c>
    </row>
    <row r="6" spans="1:3" x14ac:dyDescent="0.2">
      <c r="A6" s="15" t="s">
        <v>55</v>
      </c>
      <c r="B6" s="16">
        <v>11.46</v>
      </c>
      <c r="C6" s="16">
        <v>30.39</v>
      </c>
    </row>
    <row r="7" spans="1:3" x14ac:dyDescent="0.2">
      <c r="A7" s="15" t="s">
        <v>56</v>
      </c>
      <c r="B7" s="16">
        <v>7.81</v>
      </c>
      <c r="C7" s="16">
        <v>11.21</v>
      </c>
    </row>
    <row r="8" spans="1:3" x14ac:dyDescent="0.2">
      <c r="A8" s="14" t="s">
        <v>57</v>
      </c>
      <c r="B8" s="12">
        <f>AVERAGE(B2:B7)</f>
        <v>7.6950000000000003</v>
      </c>
      <c r="C8" s="12">
        <f>AVERAGE(C2:C7)</f>
        <v>14.298333333333337</v>
      </c>
    </row>
    <row r="10" spans="1:3" x14ac:dyDescent="0.2">
      <c r="A10" s="15" t="s">
        <v>59</v>
      </c>
      <c r="B10" s="10">
        <f>713000000*B8</f>
        <v>5486535000</v>
      </c>
    </row>
    <row r="11" spans="1:3" x14ac:dyDescent="0.2">
      <c r="A11" s="15" t="s">
        <v>58</v>
      </c>
      <c r="B11" s="10">
        <f>268800000*C8</f>
        <v>3843392000.000001</v>
      </c>
    </row>
    <row r="12" spans="1:3" x14ac:dyDescent="0.2">
      <c r="A12" s="17" t="s">
        <v>60</v>
      </c>
      <c r="B12" s="18">
        <f>AVERAGE(B10:B11)</f>
        <v>4664963500</v>
      </c>
    </row>
    <row r="13" spans="1:3" x14ac:dyDescent="0.2">
      <c r="A13" t="s">
        <v>69</v>
      </c>
      <c r="B13" s="21">
        <v>2779800000</v>
      </c>
    </row>
    <row r="14" spans="1:3" x14ac:dyDescent="0.2">
      <c r="A14" t="s">
        <v>70</v>
      </c>
      <c r="B14" s="10">
        <f>B12-B13</f>
        <v>1885163500</v>
      </c>
    </row>
    <row r="15" spans="1:3" x14ac:dyDescent="0.2">
      <c r="A15" t="s">
        <v>72</v>
      </c>
      <c r="B15">
        <f>1544.17*1000000</f>
        <v>1544170000</v>
      </c>
    </row>
    <row r="16" spans="1:3" x14ac:dyDescent="0.2">
      <c r="A16" t="s">
        <v>71</v>
      </c>
      <c r="B16" s="10">
        <f>B14/B15</f>
        <v>1.2208263986478172</v>
      </c>
    </row>
    <row r="19" spans="1:3" x14ac:dyDescent="0.2">
      <c r="A19" t="s">
        <v>73</v>
      </c>
      <c r="B19" s="10">
        <f>B10-B13</f>
        <v>2706735000</v>
      </c>
      <c r="C19" s="10">
        <f>B19/B15</f>
        <v>1.7528737120912854</v>
      </c>
    </row>
    <row r="20" spans="1:3" x14ac:dyDescent="0.2">
      <c r="A20" t="s">
        <v>74</v>
      </c>
      <c r="B20" s="10">
        <f>B11-B13</f>
        <v>1063592000.000001</v>
      </c>
      <c r="C20" s="10">
        <f>B20/B15</f>
        <v>0.68877908520434983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59C-DACB-4443-B1AA-84F50DDDD7F8}">
  <dimension ref="A1:K20"/>
  <sheetViews>
    <sheetView workbookViewId="0">
      <selection activeCell="F24" sqref="F24"/>
    </sheetView>
  </sheetViews>
  <sheetFormatPr baseColWidth="10" defaultRowHeight="16" x14ac:dyDescent="0.2"/>
  <cols>
    <col min="1" max="1" width="26.5" customWidth="1"/>
    <col min="2" max="3" width="18.83203125" customWidth="1"/>
    <col min="4" max="4" width="28.6640625" customWidth="1"/>
    <col min="5" max="11" width="18.83203125" customWidth="1"/>
  </cols>
  <sheetData>
    <row r="1" spans="1:11" x14ac:dyDescent="0.2">
      <c r="A1" t="s">
        <v>14</v>
      </c>
      <c r="B1" t="s">
        <v>15</v>
      </c>
      <c r="C1" t="s">
        <v>16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1" x14ac:dyDescent="0.2">
      <c r="A2" t="s">
        <v>62</v>
      </c>
      <c r="B2" s="10">
        <v>926500000</v>
      </c>
      <c r="C2" s="10">
        <v>268800000</v>
      </c>
      <c r="D2" s="10">
        <f>C2*(1+$B$14)</f>
        <v>317184000</v>
      </c>
      <c r="E2" s="10">
        <f t="shared" ref="E2:J2" si="0">D2*(1+$B$14)</f>
        <v>374277120</v>
      </c>
      <c r="F2" s="10">
        <f t="shared" si="0"/>
        <v>441647001.59999996</v>
      </c>
      <c r="G2" s="10">
        <f t="shared" si="0"/>
        <v>521143461.88799995</v>
      </c>
      <c r="H2" s="10">
        <f t="shared" si="0"/>
        <v>614949285.0278399</v>
      </c>
      <c r="I2" s="10">
        <f t="shared" si="0"/>
        <v>725640156.33285105</v>
      </c>
      <c r="J2" s="10">
        <f t="shared" si="0"/>
        <v>856255384.47276425</v>
      </c>
    </row>
    <row r="3" spans="1:11" x14ac:dyDescent="0.2">
      <c r="A3" t="s">
        <v>41</v>
      </c>
      <c r="B3" s="10">
        <f>B2*0.3</f>
        <v>277950000</v>
      </c>
      <c r="C3" s="10">
        <f t="shared" ref="C3:J3" si="1">C2*0.3</f>
        <v>80640000</v>
      </c>
      <c r="D3" s="10">
        <f t="shared" si="1"/>
        <v>95155200</v>
      </c>
      <c r="E3" s="10">
        <f t="shared" si="1"/>
        <v>112283136</v>
      </c>
      <c r="F3" s="10">
        <f t="shared" si="1"/>
        <v>132494100.47999999</v>
      </c>
      <c r="G3" s="10">
        <f t="shared" si="1"/>
        <v>156343038.56639999</v>
      </c>
      <c r="H3" s="10">
        <f t="shared" si="1"/>
        <v>184484785.50835195</v>
      </c>
      <c r="I3" s="10">
        <f t="shared" si="1"/>
        <v>217692046.89985532</v>
      </c>
      <c r="J3" s="10">
        <f t="shared" si="1"/>
        <v>256876615.34182927</v>
      </c>
    </row>
    <row r="4" spans="1:11" x14ac:dyDescent="0.2">
      <c r="A4" t="s">
        <v>26</v>
      </c>
      <c r="B4" s="10">
        <f>B2-B3</f>
        <v>648550000</v>
      </c>
      <c r="C4" s="10">
        <f t="shared" ref="C4:J4" si="2">C2-C3</f>
        <v>188160000</v>
      </c>
      <c r="D4" s="10">
        <f t="shared" si="2"/>
        <v>222028800</v>
      </c>
      <c r="E4" s="10">
        <f t="shared" si="2"/>
        <v>261993984</v>
      </c>
      <c r="F4" s="10">
        <f t="shared" si="2"/>
        <v>309152901.12</v>
      </c>
      <c r="G4" s="10">
        <f t="shared" si="2"/>
        <v>364800423.32159996</v>
      </c>
      <c r="H4" s="10">
        <f t="shared" si="2"/>
        <v>430464499.51948798</v>
      </c>
      <c r="I4" s="10">
        <f t="shared" si="2"/>
        <v>507948109.43299574</v>
      </c>
      <c r="J4" s="10">
        <f t="shared" si="2"/>
        <v>599378769.13093495</v>
      </c>
    </row>
    <row r="5" spans="1:11" x14ac:dyDescent="0.2">
      <c r="A5" t="s">
        <v>22</v>
      </c>
      <c r="B5" s="10">
        <v>371300000</v>
      </c>
      <c r="C5" s="10">
        <v>419300000</v>
      </c>
      <c r="D5" s="10">
        <v>415107000</v>
      </c>
      <c r="E5" s="10">
        <v>410955930</v>
      </c>
      <c r="F5" s="10">
        <v>431503726.5</v>
      </c>
      <c r="G5" s="10">
        <v>453078912.82999998</v>
      </c>
      <c r="H5" s="10">
        <v>475732858.47000003</v>
      </c>
      <c r="I5" s="10">
        <v>490004844.22000003</v>
      </c>
      <c r="J5" s="10">
        <v>504704989.55000001</v>
      </c>
    </row>
    <row r="6" spans="1:11" x14ac:dyDescent="0.2">
      <c r="A6" t="s">
        <v>27</v>
      </c>
      <c r="B6" s="10">
        <v>434200000</v>
      </c>
      <c r="C6" s="10">
        <v>767700000</v>
      </c>
      <c r="D6" s="10">
        <v>455910000</v>
      </c>
      <c r="E6" s="10">
        <v>478705500</v>
      </c>
      <c r="F6" s="10">
        <v>502640775</v>
      </c>
      <c r="G6" s="10">
        <v>527772813.75</v>
      </c>
      <c r="H6" s="10">
        <v>554161454.44000006</v>
      </c>
      <c r="I6" s="10">
        <v>581869527.15999997</v>
      </c>
      <c r="J6" s="10">
        <v>610963003.51999998</v>
      </c>
      <c r="K6" s="10"/>
    </row>
    <row r="7" spans="1:11" x14ac:dyDescent="0.2">
      <c r="A7" t="s">
        <v>28</v>
      </c>
      <c r="B7" s="10">
        <v>140400000</v>
      </c>
      <c r="C7" s="10">
        <v>4600000</v>
      </c>
      <c r="D7" s="10">
        <v>4554000</v>
      </c>
      <c r="E7" s="10">
        <v>4508460</v>
      </c>
      <c r="F7" s="10">
        <v>4733883</v>
      </c>
      <c r="G7" s="10">
        <v>4970577.1500000004</v>
      </c>
      <c r="H7" s="10">
        <v>5219106.01</v>
      </c>
      <c r="I7" s="10">
        <v>5375679.1900000004</v>
      </c>
      <c r="J7" s="10">
        <v>5536949.5599999996</v>
      </c>
      <c r="K7" t="s">
        <v>40</v>
      </c>
    </row>
    <row r="8" spans="1:11" x14ac:dyDescent="0.2">
      <c r="A8" t="s">
        <v>29</v>
      </c>
      <c r="B8" s="7"/>
      <c r="C8" s="10">
        <f>C4+C5-C6-C7</f>
        <v>-164840000</v>
      </c>
      <c r="D8" s="10">
        <f t="shared" ref="D8:J8" si="3">D4+D5-D6-D7</f>
        <v>176671800</v>
      </c>
      <c r="E8" s="10">
        <f t="shared" si="3"/>
        <v>189735954</v>
      </c>
      <c r="F8" s="10">
        <f t="shared" si="3"/>
        <v>233281969.62</v>
      </c>
      <c r="G8" s="10">
        <f t="shared" si="3"/>
        <v>285135945.25159991</v>
      </c>
      <c r="H8" s="10">
        <f t="shared" si="3"/>
        <v>346816797.53948796</v>
      </c>
      <c r="I8" s="10">
        <f t="shared" si="3"/>
        <v>410707747.30299586</v>
      </c>
      <c r="J8" s="10">
        <f t="shared" si="3"/>
        <v>487583805.60093492</v>
      </c>
      <c r="K8" s="10">
        <f>(J8*1.03)/(A14-0.03)</f>
        <v>12309100974.729485</v>
      </c>
    </row>
    <row r="9" spans="1:11" x14ac:dyDescent="0.2">
      <c r="A9" t="s">
        <v>31</v>
      </c>
      <c r="B9" s="10"/>
      <c r="C9" s="10">
        <f>C8/(1+$A$14)</f>
        <v>-153940978.70750841</v>
      </c>
      <c r="D9" s="10">
        <f>D8/(1+$A$14)^2</f>
        <v>154081503.93318534</v>
      </c>
      <c r="E9" s="10">
        <f>E8/(1+$A$14)^3</f>
        <v>154534178.48319876</v>
      </c>
      <c r="F9" s="10">
        <f>F8/(1+$A$14)^4</f>
        <v>177438445.22160053</v>
      </c>
      <c r="G9" s="10">
        <f>G8/(1+$A$14)^5</f>
        <v>202539697.44562152</v>
      </c>
      <c r="H9" s="10">
        <f>H8/(1+$A$14)^6</f>
        <v>230064679.2592884</v>
      </c>
      <c r="I9" s="10">
        <f>I8/(1+$A$14)^7</f>
        <v>254433538.31879741</v>
      </c>
      <c r="J9" s="10">
        <f>J8/(1+$A$14)^8</f>
        <v>282086545.6369049</v>
      </c>
      <c r="K9" s="10">
        <f>K8/(1+$A$14)^8</f>
        <v>7121302500.1473541</v>
      </c>
    </row>
    <row r="10" spans="1:11" x14ac:dyDescent="0.2">
      <c r="A10" t="s">
        <v>32</v>
      </c>
      <c r="B10" s="10">
        <f>SUM(C9:K9)</f>
        <v>8422540109.7384424</v>
      </c>
    </row>
    <row r="13" spans="1:11" x14ac:dyDescent="0.2">
      <c r="A13" t="s">
        <v>30</v>
      </c>
      <c r="B13" s="45" t="s">
        <v>65</v>
      </c>
    </row>
    <row r="14" spans="1:11" x14ac:dyDescent="0.2">
      <c r="A14" s="3">
        <v>7.0800000000000002E-2</v>
      </c>
      <c r="B14" s="46">
        <v>0.18</v>
      </c>
    </row>
    <row r="16" spans="1:11" x14ac:dyDescent="0.2">
      <c r="A16" t="s">
        <v>61</v>
      </c>
      <c r="B16" s="10">
        <f>B10</f>
        <v>8422540109.7384424</v>
      </c>
      <c r="C16" s="10"/>
      <c r="D16" s="4"/>
      <c r="E16" s="4"/>
      <c r="F16" s="4"/>
      <c r="G16" s="4"/>
      <c r="H16" s="4"/>
      <c r="I16" s="4"/>
    </row>
    <row r="17" spans="1:11" x14ac:dyDescent="0.2">
      <c r="A17" s="4" t="s">
        <v>43</v>
      </c>
      <c r="B17" s="10">
        <v>2779800000</v>
      </c>
      <c r="D17" t="s">
        <v>66</v>
      </c>
      <c r="E17" s="3">
        <v>0.05</v>
      </c>
      <c r="F17" s="3">
        <v>0.1</v>
      </c>
      <c r="G17" s="3">
        <v>0.15</v>
      </c>
      <c r="H17" s="4">
        <v>0.18</v>
      </c>
      <c r="I17" s="3">
        <v>0.2</v>
      </c>
      <c r="J17" s="3">
        <v>0.25</v>
      </c>
      <c r="K17" s="3">
        <v>0.3</v>
      </c>
    </row>
    <row r="18" spans="1:11" x14ac:dyDescent="0.2">
      <c r="A18" t="s">
        <v>44</v>
      </c>
      <c r="B18" s="10">
        <f>B16-B17</f>
        <v>5642740109.7384424</v>
      </c>
      <c r="D18" t="s">
        <v>64</v>
      </c>
      <c r="E18" s="10">
        <v>0.03</v>
      </c>
      <c r="F18" s="10">
        <v>1.1399999999999999</v>
      </c>
      <c r="G18" s="10">
        <v>2.59</v>
      </c>
      <c r="H18" s="10">
        <v>3.65</v>
      </c>
      <c r="I18" s="10">
        <v>4.45</v>
      </c>
      <c r="J18" s="10">
        <v>6.83</v>
      </c>
      <c r="K18" s="10">
        <v>9.82</v>
      </c>
    </row>
    <row r="19" spans="1:11" x14ac:dyDescent="0.2">
      <c r="A19" t="s">
        <v>63</v>
      </c>
      <c r="B19" s="12">
        <f>1544.17*1000000</f>
        <v>1544170000</v>
      </c>
    </row>
    <row r="20" spans="1:11" x14ac:dyDescent="0.2">
      <c r="A20" t="s">
        <v>64</v>
      </c>
      <c r="B20" s="10">
        <f>B18/B19</f>
        <v>3.6542220803010306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FCDA-95C4-E747-9EAD-ECCC7377B1FB}">
  <dimension ref="A1:H26"/>
  <sheetViews>
    <sheetView zoomScale="140" workbookViewId="0">
      <selection activeCell="E25" sqref="E25"/>
    </sheetView>
  </sheetViews>
  <sheetFormatPr baseColWidth="10" defaultRowHeight="16" x14ac:dyDescent="0.2"/>
  <cols>
    <col min="1" max="1" width="30.5" customWidth="1"/>
    <col min="2" max="2" width="18.33203125" customWidth="1"/>
    <col min="3" max="4" width="15.83203125" customWidth="1"/>
    <col min="5" max="5" width="21.5" customWidth="1"/>
    <col min="6" max="13" width="15.83203125" customWidth="1"/>
  </cols>
  <sheetData>
    <row r="1" spans="1:8" x14ac:dyDescent="0.2">
      <c r="A1" t="s">
        <v>85</v>
      </c>
      <c r="B1" s="4">
        <v>0.25</v>
      </c>
    </row>
    <row r="2" spans="1:8" x14ac:dyDescent="0.2">
      <c r="A2" t="s">
        <v>86</v>
      </c>
      <c r="B2">
        <v>3.38</v>
      </c>
    </row>
    <row r="3" spans="1:8" x14ac:dyDescent="0.2">
      <c r="A3" t="s">
        <v>88</v>
      </c>
      <c r="B3">
        <f>B2*(1+B1)</f>
        <v>4.2249999999999996</v>
      </c>
    </row>
    <row r="4" spans="1:8" x14ac:dyDescent="0.2">
      <c r="A4" t="s">
        <v>87</v>
      </c>
      <c r="B4" s="12">
        <f>1544.17*1000000</f>
        <v>1544170000</v>
      </c>
    </row>
    <row r="5" spans="1:8" x14ac:dyDescent="0.2">
      <c r="A5" t="s">
        <v>89</v>
      </c>
      <c r="B5" s="10">
        <f>B3*B4</f>
        <v>6524118249.999999</v>
      </c>
      <c r="E5" s="10"/>
    </row>
    <row r="6" spans="1:8" x14ac:dyDescent="0.2">
      <c r="E6" s="10"/>
    </row>
    <row r="8" spans="1:8" x14ac:dyDescent="0.2">
      <c r="A8" t="s">
        <v>90</v>
      </c>
      <c r="B8" s="10">
        <f>876.5*1000000</f>
        <v>876500000</v>
      </c>
    </row>
    <row r="9" spans="1:8" x14ac:dyDescent="0.2">
      <c r="A9" t="s">
        <v>91</v>
      </c>
      <c r="B9" s="70">
        <v>2600000000</v>
      </c>
    </row>
    <row r="10" spans="1:8" x14ac:dyDescent="0.2">
      <c r="A10" t="s">
        <v>92</v>
      </c>
      <c r="B10" s="10">
        <f>B5-B8-B9</f>
        <v>3047618249.999999</v>
      </c>
      <c r="E10" s="10"/>
    </row>
    <row r="11" spans="1:8" x14ac:dyDescent="0.2">
      <c r="A11" t="s">
        <v>93</v>
      </c>
      <c r="B11" s="70">
        <v>38.869999999999997</v>
      </c>
    </row>
    <row r="12" spans="1:8" x14ac:dyDescent="0.2">
      <c r="A12" t="s">
        <v>94</v>
      </c>
      <c r="B12" s="7">
        <f>B10/B11</f>
        <v>78405409.055827096</v>
      </c>
    </row>
    <row r="13" spans="1:8" x14ac:dyDescent="0.2">
      <c r="A13" t="s">
        <v>95</v>
      </c>
      <c r="B13" t="s">
        <v>96</v>
      </c>
      <c r="D13" s="71"/>
      <c r="E13" s="71"/>
      <c r="F13" s="71"/>
      <c r="G13" s="71"/>
      <c r="H13" s="71"/>
    </row>
    <row r="14" spans="1:8" x14ac:dyDescent="0.2">
      <c r="A14" t="s">
        <v>97</v>
      </c>
      <c r="B14" s="3">
        <v>6.0900000000000003E-2</v>
      </c>
      <c r="D14" s="72"/>
      <c r="E14" s="73"/>
      <c r="F14" s="72"/>
      <c r="G14" s="72"/>
      <c r="H14" s="74"/>
    </row>
    <row r="15" spans="1:8" x14ac:dyDescent="0.2">
      <c r="D15" s="72"/>
      <c r="E15" s="72"/>
      <c r="F15" s="72"/>
      <c r="G15" s="72"/>
      <c r="H15" s="72"/>
    </row>
    <row r="16" spans="1:8" x14ac:dyDescent="0.2">
      <c r="D16" s="72"/>
      <c r="E16" s="72"/>
      <c r="F16" s="72"/>
      <c r="G16" s="72"/>
      <c r="H16" s="72"/>
    </row>
    <row r="17" spans="4:8" x14ac:dyDescent="0.2">
      <c r="D17" s="72"/>
      <c r="E17" s="72"/>
      <c r="F17" s="72"/>
      <c r="G17" s="72"/>
      <c r="H17" s="72"/>
    </row>
    <row r="18" spans="4:8" x14ac:dyDescent="0.2">
      <c r="D18" s="72"/>
      <c r="E18" s="72"/>
      <c r="F18" s="72"/>
      <c r="G18" s="72"/>
      <c r="H18" s="72"/>
    </row>
    <row r="19" spans="4:8" x14ac:dyDescent="0.2">
      <c r="D19" s="72"/>
      <c r="E19" s="74"/>
      <c r="F19" s="72"/>
      <c r="G19" s="72"/>
      <c r="H19" s="73"/>
    </row>
    <row r="20" spans="4:8" x14ac:dyDescent="0.2">
      <c r="D20" s="72"/>
      <c r="E20" s="74"/>
      <c r="F20" s="72"/>
      <c r="G20" s="72"/>
      <c r="H20" s="72"/>
    </row>
    <row r="21" spans="4:8" x14ac:dyDescent="0.2">
      <c r="D21" s="72"/>
      <c r="E21" s="72"/>
      <c r="F21" s="72"/>
      <c r="G21" s="72"/>
      <c r="H21" s="72"/>
    </row>
    <row r="22" spans="4:8" x14ac:dyDescent="0.2">
      <c r="D22" s="72"/>
      <c r="E22" s="75"/>
      <c r="F22" s="72"/>
      <c r="G22" s="72"/>
      <c r="H22" s="73"/>
    </row>
    <row r="23" spans="4:8" x14ac:dyDescent="0.2">
      <c r="D23" s="72"/>
      <c r="E23" s="72"/>
      <c r="F23" s="72"/>
      <c r="G23" s="72"/>
      <c r="H23" s="72"/>
    </row>
    <row r="24" spans="4:8" x14ac:dyDescent="0.2">
      <c r="D24" s="72"/>
      <c r="E24" s="72"/>
      <c r="F24" s="72"/>
      <c r="G24" s="72"/>
      <c r="H24" s="72"/>
    </row>
    <row r="25" spans="4:8" x14ac:dyDescent="0.2">
      <c r="D25" s="72"/>
      <c r="E25" s="74"/>
      <c r="F25" s="72"/>
      <c r="G25" s="72"/>
      <c r="H25" s="72"/>
    </row>
    <row r="26" spans="4:8" x14ac:dyDescent="0.2">
      <c r="D26" s="71"/>
      <c r="E26" s="71"/>
      <c r="F26" s="71"/>
      <c r="G26" s="71"/>
      <c r="H26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table </vt:lpstr>
      <vt:lpstr>WACC SVW </vt:lpstr>
      <vt:lpstr>WACC Target(VIVA)</vt:lpstr>
      <vt:lpstr>DCF Viva (Fundamental Valuation</vt:lpstr>
      <vt:lpstr>Synergy Valuation Viva </vt:lpstr>
      <vt:lpstr>DCF VIVA FCFE</vt:lpstr>
      <vt:lpstr>Relative Valuation Viva </vt:lpstr>
      <vt:lpstr>Sensitivity Analysis Calculator</vt:lpstr>
      <vt:lpstr>Deal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Saranu</dc:creator>
  <cp:lastModifiedBy>Sri Saranu</cp:lastModifiedBy>
  <dcterms:created xsi:type="dcterms:W3CDTF">2024-05-15T08:40:51Z</dcterms:created>
  <dcterms:modified xsi:type="dcterms:W3CDTF">2024-05-19T06:56:48Z</dcterms:modified>
</cp:coreProperties>
</file>