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8_{4BB6EF17-3120-4DC2-84AD-62F7388F8D0C}" xr6:coauthVersionLast="47" xr6:coauthVersionMax="47" xr10:uidLastSave="{00000000-0000-0000-0000-000000000000}"/>
  <bookViews>
    <workbookView xWindow="28680" yWindow="-120" windowWidth="21840" windowHeight="13020" xr2:uid="{00000000-000D-0000-FFFF-FFFF00000000}"/>
  </bookViews>
  <sheets>
    <sheet name="DIS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U43" i="1" s="1"/>
  <c r="B19" i="1"/>
  <c r="G57" i="1"/>
  <c r="I54" i="1"/>
  <c r="B7" i="1"/>
  <c r="R43" i="1"/>
  <c r="Q43" i="1"/>
  <c r="P43" i="1"/>
  <c r="O43" i="1"/>
  <c r="N43" i="1"/>
  <c r="M43" i="1"/>
  <c r="U44" i="1" l="1"/>
  <c r="X44" i="1" s="1"/>
  <c r="X43" i="1"/>
  <c r="P53" i="1" l="1"/>
  <c r="R27" i="1"/>
  <c r="P27" i="1"/>
  <c r="O27" i="1"/>
  <c r="V27" i="1" s="1"/>
  <c r="U27" i="1" s="1"/>
  <c r="X27" i="1" s="1"/>
  <c r="N27" i="1"/>
  <c r="S51" i="1" l="1"/>
  <c r="R37" i="1"/>
  <c r="Q37" i="1"/>
  <c r="P37" i="1"/>
  <c r="O37" i="1"/>
  <c r="N37" i="1"/>
  <c r="M37" i="1"/>
  <c r="U37" i="1" l="1"/>
  <c r="X37" i="1" s="1"/>
  <c r="U38" i="1"/>
  <c r="X38" i="1" s="1"/>
  <c r="R33" i="1" l="1"/>
  <c r="P33" i="1"/>
  <c r="O33" i="1"/>
  <c r="N33" i="1"/>
  <c r="N30" i="1"/>
  <c r="O30" i="1"/>
  <c r="V33" i="1" l="1"/>
  <c r="U33" i="1" s="1"/>
  <c r="X33" i="1" s="1"/>
  <c r="R30" i="1"/>
  <c r="P30" i="1"/>
  <c r="V30" i="1" s="1"/>
  <c r="R19" i="1" l="1"/>
  <c r="Q19" i="1"/>
  <c r="P19" i="1"/>
  <c r="O19" i="1"/>
  <c r="N19" i="1"/>
  <c r="M19" i="1"/>
  <c r="R14" i="1"/>
  <c r="Q14" i="1"/>
  <c r="P14" i="1"/>
  <c r="O14" i="1"/>
  <c r="N14" i="1"/>
  <c r="M14" i="1"/>
  <c r="U20" i="1" l="1"/>
  <c r="U14" i="1"/>
  <c r="V14" i="1" s="1"/>
  <c r="U30" i="1"/>
  <c r="X30" i="1" s="1"/>
  <c r="U15" i="1"/>
  <c r="V15" i="1" s="1"/>
  <c r="U19" i="1"/>
  <c r="X19" i="1" s="1"/>
  <c r="V20" i="1" l="1"/>
  <c r="X20" i="1"/>
  <c r="X14" i="1"/>
  <c r="V19" i="1"/>
  <c r="E68" i="1"/>
  <c r="B68" i="1"/>
  <c r="R7" i="1"/>
  <c r="Q7" i="1"/>
  <c r="P7" i="1"/>
  <c r="O7" i="1"/>
  <c r="N7" i="1"/>
  <c r="M7" i="1"/>
  <c r="V8" i="1" l="1"/>
  <c r="U8" i="1" s="1"/>
  <c r="T8" i="1" s="1"/>
  <c r="V7" i="1"/>
  <c r="X7" i="1" s="1"/>
  <c r="R3" i="1"/>
  <c r="Q3" i="1"/>
  <c r="P3" i="1"/>
  <c r="O3" i="1"/>
  <c r="N3" i="1"/>
  <c r="M3" i="1"/>
  <c r="V4" i="1" l="1"/>
  <c r="X4" i="1" s="1"/>
  <c r="U7" i="1"/>
  <c r="T7" i="1" s="1"/>
  <c r="V3" i="1"/>
  <c r="X3" i="1" s="1"/>
  <c r="X8" i="1"/>
  <c r="H57" i="1"/>
  <c r="U4" i="1" l="1"/>
  <c r="T4" i="1" s="1"/>
  <c r="U3" i="1"/>
  <c r="T3" i="1" s="1"/>
  <c r="J54" i="1"/>
  <c r="J51" i="1"/>
  <c r="D63" i="1" l="1"/>
  <c r="B62" i="1" l="1"/>
</calcChain>
</file>

<file path=xl/sharedStrings.xml><?xml version="1.0" encoding="utf-8"?>
<sst xmlns="http://schemas.openxmlformats.org/spreadsheetml/2006/main" count="214" uniqueCount="59">
  <si>
    <t>int</t>
  </si>
  <si>
    <t>versa</t>
  </si>
  <si>
    <t>diff</t>
  </si>
  <si>
    <t>BASE</t>
  </si>
  <si>
    <t>head</t>
  </si>
  <si>
    <t>should</t>
  </si>
  <si>
    <t>chest</t>
  </si>
  <si>
    <t>wrist</t>
  </si>
  <si>
    <t>waist</t>
  </si>
  <si>
    <t>legs</t>
  </si>
  <si>
    <t>feet</t>
  </si>
  <si>
    <t>back</t>
  </si>
  <si>
    <t>trink</t>
  </si>
  <si>
    <t>hands</t>
  </si>
  <si>
    <t>ARTIFACT</t>
  </si>
  <si>
    <t>ENCH</t>
  </si>
  <si>
    <t>flask</t>
  </si>
  <si>
    <t>TOT MASTERY</t>
  </si>
  <si>
    <t>TOT</t>
  </si>
  <si>
    <t>BASE MASTERY holy</t>
  </si>
  <si>
    <t>BASE MASTERY disci</t>
  </si>
  <si>
    <t>disci versa</t>
  </si>
  <si>
    <t>sins</t>
  </si>
  <si>
    <t>% ver</t>
  </si>
  <si>
    <t>%int</t>
  </si>
  <si>
    <t>t confes</t>
  </si>
  <si>
    <t>t forbidd</t>
  </si>
  <si>
    <t>t conclav</t>
  </si>
  <si>
    <t>twis</t>
  </si>
  <si>
    <t>freakz</t>
  </si>
  <si>
    <t>x2</t>
  </si>
  <si>
    <t>x4</t>
  </si>
  <si>
    <t>heal</t>
  </si>
  <si>
    <t>% mast</t>
  </si>
  <si>
    <t>%aton</t>
  </si>
  <si>
    <t>velen</t>
  </si>
  <si>
    <t>n°velen</t>
  </si>
  <si>
    <t xml:space="preserve"> twist 0-1</t>
  </si>
  <si>
    <t>velen 0-1</t>
  </si>
  <si>
    <t>Purge</t>
  </si>
  <si>
    <t>dmg</t>
  </si>
  <si>
    <t>hit</t>
  </si>
  <si>
    <t>dot</t>
  </si>
  <si>
    <t>purge</t>
  </si>
  <si>
    <t>Shield</t>
  </si>
  <si>
    <t>absorb</t>
  </si>
  <si>
    <t>faith</t>
  </si>
  <si>
    <t>real</t>
  </si>
  <si>
    <t>Smite</t>
  </si>
  <si>
    <t>smite</t>
  </si>
  <si>
    <t>gcd</t>
  </si>
  <si>
    <t>haste</t>
  </si>
  <si>
    <t>dmg theory</t>
  </si>
  <si>
    <t>t conclave</t>
  </si>
  <si>
    <t>No. Traits</t>
  </si>
  <si>
    <t>No. sins</t>
  </si>
  <si>
    <t>No. twist</t>
  </si>
  <si>
    <t>Shadowfiend</t>
  </si>
  <si>
    <t>Penance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</si>
</sst>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  <xf numFmtId="0" fontId="4" fillId="3" borderId="1" applyNumberFormat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1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6" fillId="4" borderId="1" xfId="4" applyNumberFormat="1" applyBorder="1" applyAlignment="1">
      <alignment horizontal="center" vertical="center"/>
    </xf>
    <xf numFmtId="164" fontId="2" fillId="0" borderId="0" xfId="2" applyNumberFormat="1" applyFont="1" applyAlignment="1">
      <alignment horizontal="center"/>
    </xf>
    <xf numFmtId="0" fontId="4" fillId="3" borderId="3" xfId="3" applyBorder="1" applyAlignment="1">
      <alignment horizontal="center" vertical="center"/>
    </xf>
    <xf numFmtId="1" fontId="7" fillId="5" borderId="3" xfId="5" applyNumberFormat="1" applyBorder="1" applyAlignment="1">
      <alignment horizontal="center" vertical="center"/>
    </xf>
    <xf numFmtId="0" fontId="7" fillId="5" borderId="2" xfId="5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6">
    <cellStyle name="Bad" xfId="5" builtinId="27"/>
    <cellStyle name="Calculation" xfId="1" builtinId="22"/>
    <cellStyle name="Good" xfId="4" builtinId="26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8"/>
  <sheetViews>
    <sheetView tabSelected="1" topLeftCell="F1" workbookViewId="0">
      <selection activeCell="F8" sqref="F8"/>
    </sheetView>
  </sheetViews>
  <sheetFormatPr defaultColWidth="9.7109375" defaultRowHeight="15" x14ac:dyDescent="0.25"/>
  <cols>
    <col min="1" max="1" width="12.5703125" style="1" bestFit="1" customWidth="1"/>
    <col min="2" max="8" width="9.7109375" style="1"/>
    <col min="9" max="9" width="13.140625" style="1" bestFit="1" customWidth="1"/>
    <col min="10" max="18" width="9.7109375" style="1"/>
    <col min="19" max="19" width="10.5703125" style="1" bestFit="1" customWidth="1"/>
    <col min="20" max="21" width="9.7109375" style="1"/>
    <col min="22" max="22" width="11.5703125" style="1" customWidth="1"/>
    <col min="23" max="16384" width="9.7109375" style="1"/>
  </cols>
  <sheetData>
    <row r="2" spans="1:24" x14ac:dyDescent="0.25">
      <c r="A2" s="12" t="s">
        <v>58</v>
      </c>
      <c r="B2" s="13" t="s">
        <v>0</v>
      </c>
      <c r="C2" s="13" t="s">
        <v>23</v>
      </c>
      <c r="D2" s="13" t="s">
        <v>33</v>
      </c>
      <c r="E2" s="13" t="s">
        <v>54</v>
      </c>
      <c r="F2" s="13" t="s">
        <v>55</v>
      </c>
      <c r="G2" s="13" t="s">
        <v>56</v>
      </c>
      <c r="H2" s="13" t="s">
        <v>36</v>
      </c>
      <c r="I2" s="13" t="s">
        <v>24</v>
      </c>
      <c r="J2" s="13" t="s">
        <v>25</v>
      </c>
      <c r="K2" s="13" t="s">
        <v>26</v>
      </c>
      <c r="L2" s="13" t="s">
        <v>53</v>
      </c>
      <c r="M2" s="13" t="s">
        <v>54</v>
      </c>
      <c r="N2" s="13" t="s">
        <v>22</v>
      </c>
      <c r="O2" s="13" t="s">
        <v>1</v>
      </c>
      <c r="P2" s="13" t="s">
        <v>28</v>
      </c>
      <c r="Q2" s="13" t="s">
        <v>34</v>
      </c>
      <c r="R2" s="13" t="s">
        <v>35</v>
      </c>
      <c r="S2" s="13"/>
      <c r="T2" s="13" t="s">
        <v>31</v>
      </c>
      <c r="U2" s="13" t="s">
        <v>30</v>
      </c>
      <c r="V2" s="13" t="s">
        <v>52</v>
      </c>
      <c r="W2" s="13" t="s">
        <v>29</v>
      </c>
      <c r="X2" s="13" t="s">
        <v>2</v>
      </c>
    </row>
    <row r="3" spans="1:24" x14ac:dyDescent="0.25">
      <c r="B3" s="10">
        <v>56145</v>
      </c>
      <c r="C3" s="10">
        <v>5.92</v>
      </c>
      <c r="D3" s="10">
        <v>46.98</v>
      </c>
      <c r="E3" s="10">
        <v>60</v>
      </c>
      <c r="F3" s="10">
        <v>0</v>
      </c>
      <c r="G3" s="10">
        <v>0</v>
      </c>
      <c r="H3" s="10">
        <v>0</v>
      </c>
      <c r="I3" s="1">
        <v>1.9</v>
      </c>
      <c r="J3" s="1">
        <v>1.24</v>
      </c>
      <c r="K3" s="1">
        <v>1.05</v>
      </c>
      <c r="L3" s="1">
        <v>1.1000000000000001</v>
      </c>
      <c r="M3" s="6">
        <f>1+E3*0.65/100</f>
        <v>1.3900000000000001</v>
      </c>
      <c r="N3" s="1">
        <f>1+F3*1/100</f>
        <v>1</v>
      </c>
      <c r="O3" s="1">
        <f>1+C3/100</f>
        <v>1.0591999999999999</v>
      </c>
      <c r="P3" s="1">
        <f>1+G3*0.2</f>
        <v>1</v>
      </c>
      <c r="Q3" s="1">
        <f>0.4*(1+D3/100)</f>
        <v>0.58792</v>
      </c>
      <c r="R3" s="1">
        <f>1+H3*0.15</f>
        <v>1</v>
      </c>
      <c r="T3" s="4">
        <f>U3*2</f>
        <v>899748.47698686726</v>
      </c>
      <c r="U3" s="4">
        <f>V3*2</f>
        <v>449874.23849343363</v>
      </c>
      <c r="V3" s="11">
        <f>B3*I3*J3*M3*N3*O3*K3*L3*P3</f>
        <v>224937.11924671681</v>
      </c>
      <c r="W3" s="10">
        <v>231247</v>
      </c>
      <c r="X3" s="9">
        <f t="shared" ref="X3" si="0">1-V3/W3</f>
        <v>2.7286324809762674E-2</v>
      </c>
    </row>
    <row r="4" spans="1:24" x14ac:dyDescent="0.25">
      <c r="T4" s="4">
        <f>U4*2</f>
        <v>380561.24071231572</v>
      </c>
      <c r="U4" s="4">
        <f>V4*2</f>
        <v>190280.62035615786</v>
      </c>
      <c r="V4" s="8">
        <f>B3*I3*J3*K3*L3*N3*O3*P3*Q3*R3</f>
        <v>95140.310178078929</v>
      </c>
      <c r="W4" s="5">
        <v>25892</v>
      </c>
      <c r="X4" s="9">
        <f t="shared" ref="X4" si="1">1-V4/W4</f>
        <v>-2.674506031904794</v>
      </c>
    </row>
    <row r="5" spans="1:24" x14ac:dyDescent="0.25">
      <c r="T5" s="1" t="s">
        <v>31</v>
      </c>
      <c r="U5" s="1" t="s">
        <v>30</v>
      </c>
      <c r="V5" s="1" t="s">
        <v>32</v>
      </c>
      <c r="W5" s="1" t="s">
        <v>29</v>
      </c>
    </row>
    <row r="6" spans="1:24" x14ac:dyDescent="0.25">
      <c r="A6" s="12" t="s">
        <v>58</v>
      </c>
      <c r="B6" s="13" t="s">
        <v>0</v>
      </c>
      <c r="C6" s="13" t="s">
        <v>23</v>
      </c>
      <c r="D6" s="13" t="s">
        <v>33</v>
      </c>
      <c r="E6" s="13" t="s">
        <v>54</v>
      </c>
      <c r="F6" s="13" t="s">
        <v>55</v>
      </c>
      <c r="G6" s="13" t="s">
        <v>37</v>
      </c>
      <c r="H6" s="13" t="s">
        <v>38</v>
      </c>
      <c r="I6" s="13" t="s">
        <v>24</v>
      </c>
      <c r="J6" s="13" t="s">
        <v>25</v>
      </c>
      <c r="K6" s="13" t="s">
        <v>26</v>
      </c>
      <c r="L6" s="13" t="s">
        <v>53</v>
      </c>
      <c r="M6" s="13" t="s">
        <v>54</v>
      </c>
      <c r="N6" s="13" t="s">
        <v>22</v>
      </c>
      <c r="O6" s="13" t="s">
        <v>1</v>
      </c>
      <c r="P6" s="13" t="s">
        <v>28</v>
      </c>
      <c r="Q6" s="13" t="s">
        <v>34</v>
      </c>
      <c r="R6" s="13" t="s">
        <v>35</v>
      </c>
      <c r="S6" s="13"/>
      <c r="T6" s="13" t="s">
        <v>31</v>
      </c>
      <c r="U6" s="13" t="s">
        <v>30</v>
      </c>
      <c r="V6" s="13" t="s">
        <v>52</v>
      </c>
      <c r="W6" s="13" t="s">
        <v>29</v>
      </c>
      <c r="X6" s="13" t="s">
        <v>2</v>
      </c>
    </row>
    <row r="7" spans="1:24" x14ac:dyDescent="0.25">
      <c r="B7" s="10">
        <f>60027</f>
        <v>60027</v>
      </c>
      <c r="C7" s="10">
        <v>8.82</v>
      </c>
      <c r="D7" s="10">
        <v>55.23</v>
      </c>
      <c r="E7" s="10">
        <v>61</v>
      </c>
      <c r="F7" s="10">
        <v>19</v>
      </c>
      <c r="G7" s="10">
        <v>0</v>
      </c>
      <c r="H7" s="10">
        <v>1</v>
      </c>
      <c r="I7" s="1">
        <v>1.9</v>
      </c>
      <c r="J7" s="1">
        <v>1.1599999999999999</v>
      </c>
      <c r="K7" s="1">
        <v>1.05</v>
      </c>
      <c r="L7" s="1">
        <v>1.1000000000000001</v>
      </c>
      <c r="M7" s="6">
        <f>1+E7*0.65/100</f>
        <v>1.3965000000000001</v>
      </c>
      <c r="N7" s="1">
        <f>1+F7*1/100</f>
        <v>1.19</v>
      </c>
      <c r="O7" s="1">
        <f>1+C7/100</f>
        <v>1.0882000000000001</v>
      </c>
      <c r="P7" s="1">
        <f>1+G7*0.2</f>
        <v>1</v>
      </c>
      <c r="Q7" s="1">
        <f>0.4*(1+D7/100)</f>
        <v>0.62092000000000003</v>
      </c>
      <c r="R7" s="1">
        <f>1+H7*0.15</f>
        <v>1.1499999999999999</v>
      </c>
      <c r="T7" s="4">
        <f>U7*2</f>
        <v>1105342.3953307765</v>
      </c>
      <c r="U7" s="4">
        <f>V7*2</f>
        <v>552671.19766538823</v>
      </c>
      <c r="V7" s="11">
        <f>B7*I7*J7*M7*N7*O7*K7*L7*P7</f>
        <v>276335.59883269412</v>
      </c>
      <c r="W7" s="10">
        <v>314391</v>
      </c>
      <c r="X7" s="9">
        <f t="shared" ref="X7:X8" si="2">1-V7/W7</f>
        <v>0.12104481733671091</v>
      </c>
    </row>
    <row r="8" spans="1:24" x14ac:dyDescent="0.25">
      <c r="T8" s="4">
        <f>U8*2</f>
        <v>565183.37280709157</v>
      </c>
      <c r="U8" s="4">
        <f>V8*2</f>
        <v>282591.68640354578</v>
      </c>
      <c r="V8" s="8">
        <f>B7*I7*J7*K7*L7*N7*O7*P7*Q7*R7</f>
        <v>141295.84320177289</v>
      </c>
      <c r="W8" s="5">
        <v>134341</v>
      </c>
      <c r="X8" s="9">
        <f t="shared" si="2"/>
        <v>-5.177007169645087E-2</v>
      </c>
    </row>
    <row r="9" spans="1:24" x14ac:dyDescent="0.25">
      <c r="T9" s="1" t="s">
        <v>31</v>
      </c>
      <c r="U9" s="1" t="s">
        <v>30</v>
      </c>
      <c r="V9" s="1" t="s">
        <v>32</v>
      </c>
      <c r="W9" s="1" t="s">
        <v>29</v>
      </c>
    </row>
    <row r="13" spans="1:24" x14ac:dyDescent="0.25">
      <c r="A13" s="12" t="s">
        <v>39</v>
      </c>
      <c r="B13" s="13" t="s">
        <v>0</v>
      </c>
      <c r="C13" s="13" t="s">
        <v>23</v>
      </c>
      <c r="D13" s="13" t="s">
        <v>33</v>
      </c>
      <c r="E13" s="13" t="s">
        <v>54</v>
      </c>
      <c r="F13" s="13" t="s">
        <v>55</v>
      </c>
      <c r="G13" s="13" t="s">
        <v>37</v>
      </c>
      <c r="H13" s="13" t="s">
        <v>38</v>
      </c>
      <c r="I13" s="13" t="s">
        <v>24</v>
      </c>
      <c r="J13" s="13" t="s">
        <v>43</v>
      </c>
      <c r="K13" s="13" t="s">
        <v>26</v>
      </c>
      <c r="L13" s="13" t="s">
        <v>53</v>
      </c>
      <c r="M13" s="13" t="s">
        <v>54</v>
      </c>
      <c r="N13" s="13" t="s">
        <v>22</v>
      </c>
      <c r="O13" s="13" t="s">
        <v>1</v>
      </c>
      <c r="P13" s="13" t="s">
        <v>28</v>
      </c>
      <c r="Q13" s="13" t="s">
        <v>34</v>
      </c>
      <c r="R13" s="13" t="s">
        <v>35</v>
      </c>
      <c r="S13" s="13"/>
      <c r="T13" s="13" t="s">
        <v>40</v>
      </c>
      <c r="U13" s="13" t="s">
        <v>42</v>
      </c>
      <c r="V13" s="13" t="s">
        <v>41</v>
      </c>
      <c r="W13" s="13" t="s">
        <v>29</v>
      </c>
      <c r="X13" s="13" t="s">
        <v>2</v>
      </c>
    </row>
    <row r="14" spans="1:24" x14ac:dyDescent="0.25">
      <c r="B14" s="10">
        <v>60000</v>
      </c>
      <c r="C14" s="10">
        <v>8.82</v>
      </c>
      <c r="D14" s="10">
        <v>41.36</v>
      </c>
      <c r="E14" s="10">
        <v>61</v>
      </c>
      <c r="F14" s="10">
        <v>19</v>
      </c>
      <c r="G14" s="10">
        <v>0</v>
      </c>
      <c r="H14" s="10">
        <v>1</v>
      </c>
      <c r="I14" s="1">
        <v>0.5</v>
      </c>
      <c r="J14" s="1">
        <v>1.2</v>
      </c>
      <c r="K14" s="1">
        <v>1.05</v>
      </c>
      <c r="L14" s="1">
        <v>1.1000000000000001</v>
      </c>
      <c r="M14" s="6">
        <f>1+E14*0.65/100</f>
        <v>1.3965000000000001</v>
      </c>
      <c r="N14" s="1">
        <f>1+F14*1/100</f>
        <v>1.19</v>
      </c>
      <c r="O14" s="1">
        <f>1+C14/100</f>
        <v>1.0882000000000001</v>
      </c>
      <c r="P14" s="1">
        <f>1+G14*0.2</f>
        <v>1</v>
      </c>
      <c r="Q14" s="1">
        <f>0.4*(1+D14/100)</f>
        <v>0.56544000000000005</v>
      </c>
      <c r="R14" s="1">
        <f>1+H14*0.15</f>
        <v>1.1499999999999999</v>
      </c>
      <c r="U14" s="4">
        <f>I14*B14*O14*M14*L14*K14*J14*N14*P14</f>
        <v>75193.639858260009</v>
      </c>
      <c r="V14" s="11">
        <f>U14*2</f>
        <v>150387.27971652002</v>
      </c>
      <c r="W14" s="10">
        <v>74191</v>
      </c>
      <c r="X14" s="9">
        <f>1-U14/W14</f>
        <v>-1.351430575487611E-2</v>
      </c>
    </row>
    <row r="15" spans="1:24" x14ac:dyDescent="0.25">
      <c r="M15" s="6"/>
      <c r="U15" s="8">
        <f>B14*R14*I14*J14*K14*L14*N14*O14*P14*Q14</f>
        <v>35012.614020531844</v>
      </c>
      <c r="V15" s="8">
        <f>U15*2</f>
        <v>70025.228041063689</v>
      </c>
    </row>
    <row r="16" spans="1:24" x14ac:dyDescent="0.25">
      <c r="M16" s="6"/>
      <c r="U16" s="4"/>
    </row>
    <row r="18" spans="1:24" x14ac:dyDescent="0.25">
      <c r="A18" s="12" t="s">
        <v>39</v>
      </c>
      <c r="B18" s="13" t="s">
        <v>0</v>
      </c>
      <c r="C18" s="13" t="s">
        <v>23</v>
      </c>
      <c r="D18" s="13" t="s">
        <v>33</v>
      </c>
      <c r="E18" s="13" t="s">
        <v>54</v>
      </c>
      <c r="F18" s="13" t="s">
        <v>55</v>
      </c>
      <c r="G18" s="13" t="s">
        <v>37</v>
      </c>
      <c r="H18" s="13" t="s">
        <v>38</v>
      </c>
      <c r="I18" s="13" t="s">
        <v>24</v>
      </c>
      <c r="J18" s="13" t="s">
        <v>43</v>
      </c>
      <c r="K18" s="13" t="s">
        <v>26</v>
      </c>
      <c r="L18" s="13" t="s">
        <v>53</v>
      </c>
      <c r="M18" s="13" t="s">
        <v>54</v>
      </c>
      <c r="N18" s="13" t="s">
        <v>22</v>
      </c>
      <c r="O18" s="13" t="s">
        <v>1</v>
      </c>
      <c r="P18" s="13" t="s">
        <v>28</v>
      </c>
      <c r="Q18" s="13" t="s">
        <v>34</v>
      </c>
      <c r="R18" s="13" t="s">
        <v>35</v>
      </c>
      <c r="S18" s="13"/>
      <c r="T18" s="13" t="s">
        <v>40</v>
      </c>
      <c r="U18" s="13" t="s">
        <v>42</v>
      </c>
      <c r="V18" s="13" t="s">
        <v>41</v>
      </c>
      <c r="W18" s="13" t="s">
        <v>29</v>
      </c>
      <c r="X18" s="13" t="s">
        <v>2</v>
      </c>
    </row>
    <row r="19" spans="1:24" x14ac:dyDescent="0.25">
      <c r="B19" s="10">
        <f>60027</f>
        <v>60027</v>
      </c>
      <c r="C19" s="10">
        <v>8.82</v>
      </c>
      <c r="D19" s="10">
        <v>55.23</v>
      </c>
      <c r="E19" s="10">
        <v>61</v>
      </c>
      <c r="F19" s="10">
        <v>19</v>
      </c>
      <c r="G19" s="10">
        <v>0</v>
      </c>
      <c r="H19" s="10">
        <v>1</v>
      </c>
      <c r="I19" s="1">
        <v>0.5</v>
      </c>
      <c r="J19" s="1">
        <v>1.2</v>
      </c>
      <c r="K19" s="1">
        <v>1.05</v>
      </c>
      <c r="L19" s="1">
        <v>1.1000000000000001</v>
      </c>
      <c r="M19" s="6">
        <f>1+E19*0.65/100</f>
        <v>1.3965000000000001</v>
      </c>
      <c r="N19" s="1">
        <f>1+F19*1/100</f>
        <v>1.19</v>
      </c>
      <c r="O19" s="1">
        <f>1+C19/100</f>
        <v>1.0882000000000001</v>
      </c>
      <c r="P19" s="1">
        <f>1+G19*0.2</f>
        <v>1</v>
      </c>
      <c r="Q19" s="1">
        <f>0.4*(1+D19/100)</f>
        <v>0.62092000000000003</v>
      </c>
      <c r="R19" s="1">
        <f>1+H19*0.15</f>
        <v>1.1499999999999999</v>
      </c>
      <c r="U19" s="4">
        <f>I19*B19*O19*M19*L19*K19*J19*N19*P19</f>
        <v>75227.47699619623</v>
      </c>
      <c r="V19" s="11">
        <f>U19*2</f>
        <v>150454.95399239246</v>
      </c>
      <c r="W19" s="10">
        <v>80561</v>
      </c>
      <c r="X19" s="9">
        <f>1-U19/W19</f>
        <v>6.620477655197643E-2</v>
      </c>
    </row>
    <row r="20" spans="1:24" x14ac:dyDescent="0.25">
      <c r="U20" s="8">
        <f>B19*R19*I19*J19*K19*L19*N19*O19*P19*Q19</f>
        <v>38465.293067633283</v>
      </c>
      <c r="V20" s="8">
        <f>U20*2</f>
        <v>76930.586135266567</v>
      </c>
      <c r="W20" s="10">
        <v>38288</v>
      </c>
      <c r="X20" s="9">
        <f>1-U20/W20</f>
        <v>-4.6305126314585277E-3</v>
      </c>
    </row>
    <row r="26" spans="1:24" x14ac:dyDescent="0.25">
      <c r="A26" s="12" t="s">
        <v>44</v>
      </c>
      <c r="B26" s="13" t="s">
        <v>0</v>
      </c>
      <c r="C26" s="13" t="s">
        <v>23</v>
      </c>
      <c r="D26" s="13"/>
      <c r="E26" s="13"/>
      <c r="F26" s="13"/>
      <c r="G26" s="13" t="s">
        <v>37</v>
      </c>
      <c r="H26" s="13" t="s">
        <v>38</v>
      </c>
      <c r="I26" s="13" t="s">
        <v>24</v>
      </c>
      <c r="J26" s="13" t="s">
        <v>46</v>
      </c>
      <c r="K26" s="13" t="s">
        <v>26</v>
      </c>
      <c r="L26" s="13" t="s">
        <v>53</v>
      </c>
      <c r="M26" s="13"/>
      <c r="N26" s="13" t="s">
        <v>22</v>
      </c>
      <c r="O26" s="13" t="s">
        <v>1</v>
      </c>
      <c r="P26" s="13" t="s">
        <v>28</v>
      </c>
      <c r="Q26" s="13"/>
      <c r="R26" s="13" t="s">
        <v>35</v>
      </c>
      <c r="S26" s="13"/>
      <c r="T26" s="13"/>
      <c r="U26" s="14">
        <v>0.5</v>
      </c>
      <c r="V26" s="13" t="s">
        <v>45</v>
      </c>
      <c r="W26" s="13" t="s">
        <v>47</v>
      </c>
      <c r="X26" s="13" t="s">
        <v>2</v>
      </c>
    </row>
    <row r="27" spans="1:24" x14ac:dyDescent="0.25">
      <c r="B27" s="10">
        <v>60775</v>
      </c>
      <c r="C27" s="10">
        <v>3.93</v>
      </c>
      <c r="D27" s="10"/>
      <c r="E27" s="10"/>
      <c r="F27" s="10"/>
      <c r="G27" s="10">
        <v>0</v>
      </c>
      <c r="H27" s="10">
        <v>0</v>
      </c>
      <c r="I27" s="1">
        <v>5.5</v>
      </c>
      <c r="J27" s="1">
        <v>1.2</v>
      </c>
      <c r="K27" s="1">
        <v>1.05</v>
      </c>
      <c r="L27" s="1">
        <v>1.1000000000000001</v>
      </c>
      <c r="M27" s="6"/>
      <c r="N27" s="1">
        <f>1+F27*1/100</f>
        <v>1</v>
      </c>
      <c r="O27" s="1">
        <f>1+C27/100</f>
        <v>1.0392999999999999</v>
      </c>
      <c r="P27" s="1">
        <f>1+G27*0.2</f>
        <v>1</v>
      </c>
      <c r="R27" s="1">
        <f>1+H27*0.15</f>
        <v>1</v>
      </c>
      <c r="U27" s="1">
        <f>V27*1.5</f>
        <v>722242.55478375009</v>
      </c>
      <c r="V27" s="4">
        <f>I27*B27*L27*K27*J27*P27*O27</f>
        <v>481495.03652250004</v>
      </c>
      <c r="W27" s="10">
        <v>700607</v>
      </c>
      <c r="X27" s="9">
        <f>1-U27/W27</f>
        <v>-3.0881157030617779E-2</v>
      </c>
    </row>
    <row r="29" spans="1:24" x14ac:dyDescent="0.25">
      <c r="A29" s="12" t="s">
        <v>44</v>
      </c>
      <c r="B29" s="13" t="s">
        <v>0</v>
      </c>
      <c r="C29" s="13" t="s">
        <v>23</v>
      </c>
      <c r="D29" s="13"/>
      <c r="E29" s="13"/>
      <c r="F29" s="13"/>
      <c r="G29" s="13" t="s">
        <v>37</v>
      </c>
      <c r="H29" s="13" t="s">
        <v>38</v>
      </c>
      <c r="I29" s="13" t="s">
        <v>24</v>
      </c>
      <c r="J29" s="13" t="s">
        <v>46</v>
      </c>
      <c r="K29" s="13" t="s">
        <v>26</v>
      </c>
      <c r="L29" s="13" t="s">
        <v>53</v>
      </c>
      <c r="M29" s="13"/>
      <c r="N29" s="13" t="s">
        <v>22</v>
      </c>
      <c r="O29" s="13" t="s">
        <v>1</v>
      </c>
      <c r="P29" s="13" t="s">
        <v>28</v>
      </c>
      <c r="Q29" s="13"/>
      <c r="R29" s="13" t="s">
        <v>35</v>
      </c>
      <c r="S29" s="13"/>
      <c r="T29" s="13"/>
      <c r="U29" s="14">
        <v>0.5</v>
      </c>
      <c r="V29" s="13" t="s">
        <v>45</v>
      </c>
      <c r="W29" s="13" t="s">
        <v>47</v>
      </c>
      <c r="X29" s="13" t="s">
        <v>2</v>
      </c>
    </row>
    <row r="30" spans="1:24" x14ac:dyDescent="0.25">
      <c r="B30" s="10">
        <v>62129</v>
      </c>
      <c r="C30" s="10">
        <v>2.23</v>
      </c>
      <c r="D30" s="10"/>
      <c r="E30" s="10"/>
      <c r="F30" s="10"/>
      <c r="G30" s="10">
        <v>0</v>
      </c>
      <c r="H30" s="10">
        <v>0</v>
      </c>
      <c r="I30" s="1">
        <v>5.5</v>
      </c>
      <c r="J30" s="1">
        <v>1.25</v>
      </c>
      <c r="K30" s="1">
        <v>1.05</v>
      </c>
      <c r="L30" s="1">
        <v>1.1000000000000001</v>
      </c>
      <c r="M30" s="6"/>
      <c r="N30" s="1">
        <f>1+F30*1/100</f>
        <v>1</v>
      </c>
      <c r="O30" s="1">
        <f>1+C30/100</f>
        <v>1.0223</v>
      </c>
      <c r="P30" s="1">
        <f>1+G30*0.2</f>
        <v>1</v>
      </c>
      <c r="R30" s="1">
        <f>1+H30*0.15</f>
        <v>1</v>
      </c>
      <c r="U30" s="1">
        <f>V30*1.5</f>
        <v>756516.96231890633</v>
      </c>
      <c r="V30" s="4">
        <f>I30*B30*L30*K30*J30*P30*O30</f>
        <v>504344.64154593757</v>
      </c>
      <c r="W30" s="10">
        <v>756481</v>
      </c>
      <c r="X30" s="9">
        <f>1-U30/W30</f>
        <v>-4.7538958554582678E-5</v>
      </c>
    </row>
    <row r="32" spans="1:24" x14ac:dyDescent="0.25">
      <c r="A32" s="12" t="s">
        <v>44</v>
      </c>
      <c r="B32" s="13" t="s">
        <v>0</v>
      </c>
      <c r="C32" s="13" t="s">
        <v>23</v>
      </c>
      <c r="D32" s="13"/>
      <c r="E32" s="13"/>
      <c r="F32" s="13"/>
      <c r="G32" s="13" t="s">
        <v>37</v>
      </c>
      <c r="H32" s="13" t="s">
        <v>38</v>
      </c>
      <c r="I32" s="13" t="s">
        <v>24</v>
      </c>
      <c r="J32" s="13" t="s">
        <v>46</v>
      </c>
      <c r="K32" s="13" t="s">
        <v>26</v>
      </c>
      <c r="L32" s="13" t="s">
        <v>53</v>
      </c>
      <c r="M32" s="13"/>
      <c r="N32" s="13" t="s">
        <v>22</v>
      </c>
      <c r="O32" s="13" t="s">
        <v>1</v>
      </c>
      <c r="P32" s="13" t="s">
        <v>28</v>
      </c>
      <c r="Q32" s="13"/>
      <c r="R32" s="13" t="s">
        <v>35</v>
      </c>
      <c r="S32" s="13"/>
      <c r="T32" s="13"/>
      <c r="U32" s="14">
        <v>0.5</v>
      </c>
      <c r="V32" s="13" t="s">
        <v>45</v>
      </c>
      <c r="W32" s="13" t="s">
        <v>47</v>
      </c>
      <c r="X32" s="13" t="s">
        <v>2</v>
      </c>
    </row>
    <row r="33" spans="1:24" x14ac:dyDescent="0.25">
      <c r="B33" s="10">
        <v>54780</v>
      </c>
      <c r="C33" s="10">
        <v>5.92</v>
      </c>
      <c r="D33" s="10"/>
      <c r="E33" s="10"/>
      <c r="F33" s="10"/>
      <c r="G33" s="10">
        <v>0</v>
      </c>
      <c r="H33" s="10">
        <v>0</v>
      </c>
      <c r="I33" s="1">
        <v>5.5</v>
      </c>
      <c r="J33" s="1">
        <v>1.25</v>
      </c>
      <c r="K33" s="1">
        <v>1.05</v>
      </c>
      <c r="L33" s="1">
        <v>1.1000000000000001</v>
      </c>
      <c r="M33" s="6"/>
      <c r="N33" s="1">
        <f>1+F33*1/100</f>
        <v>1</v>
      </c>
      <c r="O33" s="1">
        <f>1+C33/100</f>
        <v>1.0591999999999999</v>
      </c>
      <c r="P33" s="1">
        <f>1+G33*0.2</f>
        <v>1</v>
      </c>
      <c r="R33" s="1">
        <f>1+H33*0.15</f>
        <v>1</v>
      </c>
      <c r="U33" s="1">
        <f>V33*1.5</f>
        <v>691108.0406999999</v>
      </c>
      <c r="V33" s="4">
        <f>I33*B33*L33*K33*J33*P33*O33</f>
        <v>460738.69379999995</v>
      </c>
      <c r="W33" s="10">
        <v>690000</v>
      </c>
      <c r="X33" s="9">
        <f>1-U33/W33</f>
        <v>-1.6058560869562921E-3</v>
      </c>
    </row>
    <row r="36" spans="1:24" x14ac:dyDescent="0.25">
      <c r="A36" s="12" t="s">
        <v>48</v>
      </c>
      <c r="B36" s="13" t="s">
        <v>0</v>
      </c>
      <c r="C36" s="13" t="s">
        <v>23</v>
      </c>
      <c r="D36" s="13" t="s">
        <v>33</v>
      </c>
      <c r="E36" s="13" t="s">
        <v>54</v>
      </c>
      <c r="F36" s="13" t="s">
        <v>55</v>
      </c>
      <c r="G36" s="13" t="s">
        <v>37</v>
      </c>
      <c r="H36" s="13" t="s">
        <v>38</v>
      </c>
      <c r="I36" s="13" t="s">
        <v>24</v>
      </c>
      <c r="J36" s="13" t="s">
        <v>49</v>
      </c>
      <c r="K36" s="13" t="s">
        <v>26</v>
      </c>
      <c r="L36" s="13" t="s">
        <v>53</v>
      </c>
      <c r="M36" s="13" t="s">
        <v>54</v>
      </c>
      <c r="N36" s="13" t="s">
        <v>22</v>
      </c>
      <c r="O36" s="13" t="s">
        <v>1</v>
      </c>
      <c r="P36" s="13" t="s">
        <v>28</v>
      </c>
      <c r="Q36" s="13" t="s">
        <v>34</v>
      </c>
      <c r="R36" s="13" t="s">
        <v>35</v>
      </c>
      <c r="S36" s="13"/>
      <c r="T36" s="13"/>
      <c r="U36" s="13" t="s">
        <v>40</v>
      </c>
      <c r="V36" s="13"/>
      <c r="W36" s="13" t="s">
        <v>29</v>
      </c>
      <c r="X36" s="13" t="s">
        <v>2</v>
      </c>
    </row>
    <row r="37" spans="1:24" x14ac:dyDescent="0.25">
      <c r="B37" s="10">
        <v>56145</v>
      </c>
      <c r="C37" s="10">
        <v>5.92</v>
      </c>
      <c r="D37" s="10">
        <v>46.98</v>
      </c>
      <c r="E37" s="10">
        <v>60</v>
      </c>
      <c r="F37" s="10">
        <v>1</v>
      </c>
      <c r="G37" s="10">
        <v>0</v>
      </c>
      <c r="H37" s="10">
        <v>0</v>
      </c>
      <c r="I37" s="1">
        <v>2.6</v>
      </c>
      <c r="J37" s="1">
        <v>1.1499999999999999</v>
      </c>
      <c r="K37" s="1">
        <v>1.05</v>
      </c>
      <c r="L37" s="1">
        <v>1.1000000000000001</v>
      </c>
      <c r="M37" s="6">
        <f>1+E37*0.65/100</f>
        <v>1.3900000000000001</v>
      </c>
      <c r="N37" s="1">
        <f>1+F37*1/100</f>
        <v>1.01</v>
      </c>
      <c r="O37" s="1">
        <f>1+C37/100</f>
        <v>1.0591999999999999</v>
      </c>
      <c r="P37" s="1">
        <f>1+G37*0.2</f>
        <v>1</v>
      </c>
      <c r="Q37" s="1">
        <f>0.4*(1+D37/100)</f>
        <v>0.58792</v>
      </c>
      <c r="R37" s="1">
        <f>1+H37*0.15</f>
        <v>1</v>
      </c>
      <c r="U37" s="4">
        <f>I37*B37*O37*M37*L37*K37*J37*N37*P37</f>
        <v>288322.41358792875</v>
      </c>
      <c r="V37" s="11"/>
      <c r="W37" s="10">
        <v>293000</v>
      </c>
      <c r="X37" s="9">
        <f>1-U37/W37</f>
        <v>1.5964458744270438E-2</v>
      </c>
    </row>
    <row r="38" spans="1:24" x14ac:dyDescent="0.25">
      <c r="M38" s="6"/>
      <c r="U38" s="8">
        <f>B37*R37*I37*J37*K37*L37*N37*O37*P37*Q37</f>
        <v>121950.00963785256</v>
      </c>
      <c r="V38" s="8"/>
      <c r="W38" s="10">
        <v>293000</v>
      </c>
      <c r="X38" s="9">
        <f>1-U38/W38</f>
        <v>0.58378836301074211</v>
      </c>
    </row>
    <row r="42" spans="1:24" x14ac:dyDescent="0.25">
      <c r="A42" s="12" t="s">
        <v>57</v>
      </c>
      <c r="B42" s="13" t="s">
        <v>0</v>
      </c>
      <c r="C42" s="13" t="s">
        <v>23</v>
      </c>
      <c r="D42" s="13" t="s">
        <v>33</v>
      </c>
      <c r="E42" s="13" t="s">
        <v>54</v>
      </c>
      <c r="F42" s="13" t="s">
        <v>55</v>
      </c>
      <c r="G42" s="13" t="s">
        <v>37</v>
      </c>
      <c r="H42" s="13" t="s">
        <v>38</v>
      </c>
      <c r="I42" s="13" t="s">
        <v>24</v>
      </c>
      <c r="J42" s="13" t="s">
        <v>49</v>
      </c>
      <c r="K42" s="13" t="s">
        <v>26</v>
      </c>
      <c r="L42" s="13" t="s">
        <v>27</v>
      </c>
      <c r="M42" s="13" t="s">
        <v>54</v>
      </c>
      <c r="N42" s="13" t="s">
        <v>22</v>
      </c>
      <c r="O42" s="13" t="s">
        <v>1</v>
      </c>
      <c r="P42" s="13" t="s">
        <v>28</v>
      </c>
      <c r="Q42" s="13" t="s">
        <v>34</v>
      </c>
      <c r="R42" s="13" t="s">
        <v>35</v>
      </c>
      <c r="S42" s="13"/>
      <c r="T42" s="13"/>
      <c r="U42" s="13" t="s">
        <v>42</v>
      </c>
      <c r="V42" s="13"/>
      <c r="W42" s="13" t="s">
        <v>29</v>
      </c>
      <c r="X42" s="13" t="s">
        <v>2</v>
      </c>
    </row>
    <row r="43" spans="1:24" x14ac:dyDescent="0.25">
      <c r="B43" s="10">
        <f>60027</f>
        <v>60027</v>
      </c>
      <c r="C43" s="10">
        <v>8.82</v>
      </c>
      <c r="D43" s="10">
        <v>55.23</v>
      </c>
      <c r="E43" s="10">
        <v>60</v>
      </c>
      <c r="F43" s="10">
        <v>19</v>
      </c>
      <c r="G43" s="10">
        <v>0</v>
      </c>
      <c r="H43" s="10">
        <v>1</v>
      </c>
      <c r="I43" s="1">
        <v>2.6</v>
      </c>
      <c r="J43" s="1">
        <v>1.1499999999999999</v>
      </c>
      <c r="K43" s="1">
        <v>1.05</v>
      </c>
      <c r="L43" s="1">
        <v>1.1000000000000001</v>
      </c>
      <c r="M43" s="6">
        <f>1+E43*0.65/100</f>
        <v>1.3900000000000001</v>
      </c>
      <c r="N43" s="1">
        <f>1+F43*1/100</f>
        <v>1.19</v>
      </c>
      <c r="O43" s="1">
        <f>1+C43/100</f>
        <v>1.0882000000000001</v>
      </c>
      <c r="P43" s="1">
        <f>1+G43*0.2</f>
        <v>1</v>
      </c>
      <c r="Q43" s="1">
        <f>0.4*(1+D43/100)</f>
        <v>0.62092000000000003</v>
      </c>
      <c r="R43" s="1">
        <f>1+H43*0.15</f>
        <v>1.1499999999999999</v>
      </c>
      <c r="U43" s="4">
        <f>B43*2.4/6*105</f>
        <v>2521134</v>
      </c>
      <c r="V43" s="11"/>
      <c r="W43" s="10">
        <v>224055</v>
      </c>
      <c r="X43" s="9">
        <f>1-U43/W43</f>
        <v>-10.252299658565978</v>
      </c>
    </row>
    <row r="44" spans="1:24" x14ac:dyDescent="0.25">
      <c r="M44" s="6"/>
      <c r="U44" s="8">
        <f>W43*Q43/M43*R43</f>
        <v>115099.47135971222</v>
      </c>
      <c r="V44" s="8"/>
      <c r="W44" s="10">
        <v>116187</v>
      </c>
      <c r="X44" s="9">
        <f>1-U44/W44</f>
        <v>9.3601576793254093E-3</v>
      </c>
    </row>
    <row r="49" spans="1:19" x14ac:dyDescent="0.25">
      <c r="A49" s="1" t="s">
        <v>3</v>
      </c>
      <c r="B49" s="1">
        <v>7325</v>
      </c>
      <c r="D49" s="6">
        <v>7325</v>
      </c>
    </row>
    <row r="50" spans="1:19" x14ac:dyDescent="0.25">
      <c r="A50" s="1" t="s">
        <v>4</v>
      </c>
      <c r="B50" s="1">
        <v>2870</v>
      </c>
      <c r="C50" s="1">
        <v>930</v>
      </c>
      <c r="D50" s="6">
        <v>2870</v>
      </c>
      <c r="G50" s="1" t="s">
        <v>19</v>
      </c>
      <c r="I50" s="1" t="s">
        <v>17</v>
      </c>
      <c r="J50" s="1" t="s">
        <v>18</v>
      </c>
    </row>
    <row r="51" spans="1:19" x14ac:dyDescent="0.25">
      <c r="A51" s="1" t="s">
        <v>5</v>
      </c>
      <c r="B51" s="1">
        <v>2255</v>
      </c>
      <c r="C51" s="1">
        <v>915</v>
      </c>
      <c r="D51" s="6">
        <v>1872</v>
      </c>
      <c r="G51" s="1">
        <v>10</v>
      </c>
      <c r="I51" s="2">
        <v>9539</v>
      </c>
      <c r="J51" s="7">
        <f>I51/320+G51</f>
        <v>39.809375000000003</v>
      </c>
      <c r="S51" s="1">
        <f>274/1.39*0.7</f>
        <v>137.98561151079136</v>
      </c>
    </row>
    <row r="52" spans="1:19" x14ac:dyDescent="0.25">
      <c r="A52" s="1" t="s">
        <v>11</v>
      </c>
      <c r="B52" s="1">
        <v>1615</v>
      </c>
      <c r="C52" s="1">
        <v>920</v>
      </c>
      <c r="D52" s="6">
        <v>1470</v>
      </c>
    </row>
    <row r="53" spans="1:19" x14ac:dyDescent="0.25">
      <c r="A53" s="1" t="s">
        <v>6</v>
      </c>
      <c r="B53" s="1">
        <v>2496</v>
      </c>
      <c r="C53" s="1">
        <v>915</v>
      </c>
      <c r="D53" s="6">
        <v>2496</v>
      </c>
      <c r="G53" s="1" t="s">
        <v>20</v>
      </c>
      <c r="I53" s="1" t="s">
        <v>17</v>
      </c>
      <c r="J53" s="1" t="s">
        <v>18</v>
      </c>
      <c r="O53" s="1" t="s">
        <v>50</v>
      </c>
      <c r="P53" s="7">
        <f>1.5/(1+P54/100)</f>
        <v>1.1385199240986719</v>
      </c>
    </row>
    <row r="54" spans="1:19" x14ac:dyDescent="0.25">
      <c r="A54" s="1" t="s">
        <v>7</v>
      </c>
      <c r="B54" s="1">
        <v>1615</v>
      </c>
      <c r="C54" s="1">
        <v>925</v>
      </c>
      <c r="D54" s="6">
        <v>1541</v>
      </c>
      <c r="G54" s="1">
        <v>12.8</v>
      </c>
      <c r="I54" s="2">
        <f>10607</f>
        <v>10607</v>
      </c>
      <c r="J54" s="7">
        <f>I54/250+G54</f>
        <v>55.227999999999994</v>
      </c>
      <c r="O54" s="1" t="s">
        <v>51</v>
      </c>
      <c r="P54" s="1">
        <v>31.75</v>
      </c>
    </row>
    <row r="55" spans="1:19" x14ac:dyDescent="0.25">
      <c r="A55" s="1" t="s">
        <v>14</v>
      </c>
      <c r="B55" s="1">
        <v>20335</v>
      </c>
      <c r="C55" s="1">
        <v>938</v>
      </c>
      <c r="D55" s="3">
        <v>19500</v>
      </c>
    </row>
    <row r="56" spans="1:19" x14ac:dyDescent="0.25">
      <c r="A56" s="1" t="s">
        <v>13</v>
      </c>
      <c r="B56" s="1">
        <v>2153</v>
      </c>
      <c r="C56" s="1">
        <v>915</v>
      </c>
      <c r="D56" s="6">
        <v>1872</v>
      </c>
      <c r="G56" s="1" t="s">
        <v>21</v>
      </c>
    </row>
    <row r="57" spans="1:19" x14ac:dyDescent="0.25">
      <c r="A57" s="1" t="s">
        <v>8</v>
      </c>
      <c r="B57" s="1">
        <v>2362</v>
      </c>
      <c r="C57" s="1">
        <v>925</v>
      </c>
      <c r="D57" s="6">
        <v>2055</v>
      </c>
      <c r="G57" s="5">
        <f>4190</f>
        <v>4190</v>
      </c>
      <c r="H57" s="7">
        <f>G57/475</f>
        <v>8.8210526315789473</v>
      </c>
    </row>
    <row r="58" spans="1:19" x14ac:dyDescent="0.25">
      <c r="A58" s="1" t="s">
        <v>15</v>
      </c>
      <c r="B58" s="1">
        <v>400</v>
      </c>
      <c r="D58" s="6">
        <v>400</v>
      </c>
    </row>
    <row r="59" spans="1:19" x14ac:dyDescent="0.25">
      <c r="A59" s="1" t="s">
        <v>9</v>
      </c>
      <c r="B59" s="1">
        <v>2496</v>
      </c>
      <c r="C59" s="1">
        <v>905</v>
      </c>
      <c r="D59" s="6">
        <v>2273</v>
      </c>
    </row>
    <row r="60" spans="1:19" x14ac:dyDescent="0.25">
      <c r="A60" s="1" t="s">
        <v>10</v>
      </c>
      <c r="B60" s="1">
        <v>2362</v>
      </c>
      <c r="C60" s="1">
        <v>930</v>
      </c>
      <c r="D60" s="6">
        <v>2153</v>
      </c>
    </row>
    <row r="61" spans="1:19" x14ac:dyDescent="0.25">
      <c r="A61" s="1" t="s">
        <v>12</v>
      </c>
      <c r="B61" s="1">
        <v>3960</v>
      </c>
      <c r="C61" s="1" t="s">
        <v>12</v>
      </c>
      <c r="D61" s="6">
        <v>3960</v>
      </c>
    </row>
    <row r="62" spans="1:19" x14ac:dyDescent="0.25">
      <c r="B62" s="1">
        <f>SUM(B49:B61)*1.05</f>
        <v>54856.200000000004</v>
      </c>
      <c r="C62" s="1" t="s">
        <v>16</v>
      </c>
      <c r="D62" s="6">
        <v>2000</v>
      </c>
    </row>
    <row r="63" spans="1:19" x14ac:dyDescent="0.25">
      <c r="D63" s="6">
        <f>SUM(D49:D62)*1.05</f>
        <v>54376.350000000006</v>
      </c>
    </row>
    <row r="64" spans="1:19" x14ac:dyDescent="0.25">
      <c r="D64" s="6"/>
    </row>
    <row r="68" spans="1:5" x14ac:dyDescent="0.25">
      <c r="A68" s="1">
        <v>87780</v>
      </c>
      <c r="B68" s="1">
        <f>A68*3</f>
        <v>263340</v>
      </c>
      <c r="D68" s="1">
        <v>37620</v>
      </c>
      <c r="E68" s="1">
        <f>D68*16*0.5</f>
        <v>300960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2023-05-05T13:26:04Z</dcterms:modified>
</cp:coreProperties>
</file>