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 activeTab="1"/>
  </bookViews>
  <sheets>
    <sheet name="TVM" sheetId="2" r:id="rId1"/>
    <sheet name="DDM" sheetId="3" r:id="rId2"/>
  </sheets>
  <calcPr calcId="144525" concurrentCalc="0"/>
</workbook>
</file>

<file path=xl/sharedStrings.xml><?xml version="1.0" encoding="utf-8"?>
<sst xmlns="http://schemas.openxmlformats.org/spreadsheetml/2006/main" count="83">
  <si>
    <t>Future Value</t>
  </si>
  <si>
    <t>Future value</t>
  </si>
  <si>
    <t>i</t>
  </si>
  <si>
    <t>Annual interest rate</t>
  </si>
  <si>
    <t>Rate of return of the asset class which you are valuing</t>
  </si>
  <si>
    <t>t</t>
  </si>
  <si>
    <t>Future investment time</t>
  </si>
  <si>
    <t>Present Value of the principal amount is calculated using the formula given below</t>
  </si>
  <si>
    <t>FV/(1+i)^t</t>
  </si>
  <si>
    <t>Present Value</t>
  </si>
  <si>
    <t>Gordon Growth Model</t>
  </si>
  <si>
    <t>What is Ke - Cost of Equity - Investor expected return from investing in equity</t>
  </si>
  <si>
    <t>Market Return (Nifty)</t>
  </si>
  <si>
    <t>Year</t>
  </si>
  <si>
    <t xml:space="preserve">Vo = </t>
  </si>
  <si>
    <t>D0* (1+g) /( ke-g)</t>
  </si>
  <si>
    <t>It can be calculated using CAPM Model - Case study</t>
  </si>
  <si>
    <t>D1 - Expected dividend for next year</t>
  </si>
  <si>
    <t>D0*(1+g)</t>
  </si>
  <si>
    <t>Ke - Rf+B(Rm-Rf)</t>
  </si>
  <si>
    <t>Initial capital</t>
  </si>
  <si>
    <t xml:space="preserve">Rf - Govt bond yield - 10 years yield </t>
  </si>
  <si>
    <t>If nifty moves up by 1% today</t>
  </si>
  <si>
    <t>ROE - 20%</t>
  </si>
  <si>
    <t>Current Dividend</t>
  </si>
  <si>
    <t>Rm - Market return over a period of time</t>
  </si>
  <si>
    <t>Stock moves up by 1.5% today</t>
  </si>
  <si>
    <t>LESS - Dividend to parents - 100%</t>
  </si>
  <si>
    <t>ROE</t>
  </si>
  <si>
    <t>B (Beta) - Market risk - Money control</t>
  </si>
  <si>
    <t>Beta - 1.5</t>
  </si>
  <si>
    <t>b&gt;1 - aggressive stock</t>
  </si>
  <si>
    <t>Net capital at the end of 1st year</t>
  </si>
  <si>
    <t>Retention rate</t>
  </si>
  <si>
    <t>Ke - Dividend +capital appreciation = rate of return of equity stock</t>
  </si>
  <si>
    <t>RF</t>
  </si>
  <si>
    <t>What is growth rate - g - Capital appreciation</t>
  </si>
  <si>
    <t>LESS - Dividend to parents - 60%</t>
  </si>
  <si>
    <t>B</t>
  </si>
  <si>
    <t>Can be calculated using industry average growth rate</t>
  </si>
  <si>
    <t>Stock moves up by 0.5% today</t>
  </si>
  <si>
    <t>RETAINED - 40%</t>
  </si>
  <si>
    <t>RM</t>
  </si>
  <si>
    <t>or</t>
  </si>
  <si>
    <t>BETA - 0.5</t>
  </si>
  <si>
    <t>b&lt;1 - Defensive stock</t>
  </si>
  <si>
    <t>Net capital at the end of 2nd year</t>
  </si>
  <si>
    <t>g = ROE * b</t>
  </si>
  <si>
    <t>Solution</t>
  </si>
  <si>
    <t>ROE*b</t>
  </si>
  <si>
    <t>b = Retention rate</t>
  </si>
  <si>
    <t>Ke</t>
  </si>
  <si>
    <t>b = 1-dividend payout ratio</t>
  </si>
  <si>
    <t>Growth rate</t>
  </si>
  <si>
    <t>g</t>
  </si>
  <si>
    <t>Assuming</t>
  </si>
  <si>
    <t>DPS</t>
  </si>
  <si>
    <t>EPS</t>
  </si>
  <si>
    <t>Div payout ratio - DPS/EPS</t>
  </si>
  <si>
    <t>CMP</t>
  </si>
  <si>
    <t>Undervalued/Overvalued</t>
  </si>
  <si>
    <t>overvalued</t>
  </si>
  <si>
    <t>Decision</t>
  </si>
  <si>
    <t>wait for the correction</t>
  </si>
  <si>
    <t>Multistage Dividend Discount Model</t>
  </si>
  <si>
    <t xml:space="preserve">Vn = </t>
  </si>
  <si>
    <t>Dn / (ke-g)</t>
  </si>
  <si>
    <t>(Do (1+g)/ (1+ke)^n) + (Vn/(1+ke)^n)</t>
  </si>
  <si>
    <t>Growth - Short term - 3 years</t>
  </si>
  <si>
    <t>Growth - Long term/Terminal</t>
  </si>
  <si>
    <t>Particulars</t>
  </si>
  <si>
    <t>Explicit Period</t>
  </si>
  <si>
    <t>Years</t>
  </si>
  <si>
    <t>Expected dividend</t>
  </si>
  <si>
    <t>Present Value of Dividend - Expected dividend/(1+ke)^n</t>
  </si>
  <si>
    <t>Explicit period Value - A</t>
  </si>
  <si>
    <t>Terminal period value - D2026*(1+g)/(Ke-g)</t>
  </si>
  <si>
    <t>Expected dividend for the year 2027</t>
  </si>
  <si>
    <t>Terminal period value for year end 2026 = D2027/(Ke-g)</t>
  </si>
  <si>
    <t>Present value of terminal period - V3/(1+ke)^3 - B</t>
  </si>
  <si>
    <t>Intrinsic value of equity - A+B</t>
  </si>
  <si>
    <t>Undervalued</t>
  </si>
  <si>
    <t>Buy</t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</si>
</sst>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0.0000_ "/>
    <numFmt numFmtId="178" formatCode="_ * #,##0.00000_ ;_ * \-#,##0.00000_ ;_ * &quot;-&quot;??.000_ ;_ @_ "/>
    <numFmt numFmtId="42" formatCode="_-&quot;£&quot;* #,##0_-;\-&quot;£&quot;* #,##0_-;_-&quot;£&quot;* &quot;-&quot;_-;_-@_-"/>
    <numFmt numFmtId="179" formatCode="_ * #,##0.0000_ ;_ * \-#,##0.0000_ ;_ * &quot;-&quot;??.00_ ;_ @_ "/>
    <numFmt numFmtId="180" formatCode="0.00_ "/>
    <numFmt numFmtId="181" formatCode="_ * #,##0.00_ ;_ * \-#,##0.00_ ;_ * &quot;-&quot;??_ ;_ @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2" borderId="0" xfId="0" applyFont="1" applyFill="1" applyAlignment="1"/>
    <xf numFmtId="9" fontId="1" fillId="0" borderId="0" xfId="0" applyNumberFormat="1" applyFont="1" applyFill="1" applyAlignment="1"/>
    <xf numFmtId="10" fontId="1" fillId="0" borderId="0" xfId="0" applyNumberFormat="1" applyFont="1" applyFill="1" applyAlignment="1"/>
    <xf numFmtId="9" fontId="1" fillId="2" borderId="0" xfId="0" applyNumberFormat="1" applyFont="1" applyFill="1" applyAlignment="1"/>
    <xf numFmtId="0" fontId="1" fillId="0" borderId="0" xfId="0" applyNumberFormat="1" applyFont="1" applyFill="1" applyAlignment="1"/>
    <xf numFmtId="43" fontId="1" fillId="0" borderId="0" xfId="45" applyFont="1" applyFill="1" applyAlignment="1"/>
    <xf numFmtId="2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181" fontId="1" fillId="0" borderId="0" xfId="45" applyNumberFormat="1" applyFont="1" applyFill="1" applyAlignment="1"/>
    <xf numFmtId="0" fontId="2" fillId="0" borderId="0" xfId="0" applyFont="1" applyFill="1" applyAlignment="1">
      <alignment horizontal="center"/>
    </xf>
    <xf numFmtId="180" fontId="2" fillId="0" borderId="0" xfId="0" applyNumberFormat="1" applyFont="1" applyFill="1" applyAlignment="1"/>
    <xf numFmtId="179" fontId="1" fillId="0" borderId="0" xfId="45" applyNumberFormat="1" applyFont="1" applyFill="1" applyAlignment="1"/>
    <xf numFmtId="178" fontId="1" fillId="0" borderId="0" xfId="45" applyNumberFormat="1" applyFont="1" applyFill="1" applyAlignment="1"/>
    <xf numFmtId="181" fontId="1" fillId="0" borderId="0" xfId="0" applyNumberFormat="1" applyFont="1" applyFill="1" applyAlignment="1"/>
    <xf numFmtId="0" fontId="2" fillId="0" borderId="0" xfId="0" applyNumberFormat="1" applyFont="1" applyFill="1" applyAlignment="1"/>
    <xf numFmtId="180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2" fontId="3" fillId="0" borderId="0" xfId="48" applyNumberFormat="1" applyFont="1" applyFill="1" applyAlignment="1"/>
    <xf numFmtId="180" fontId="4" fillId="0" borderId="0" xfId="0" applyNumberFormat="1" applyFont="1" applyFill="1" applyAlignment="1"/>
    <xf numFmtId="177" fontId="1" fillId="0" borderId="0" xfId="0" applyNumberFormat="1" applyFont="1" applyFill="1" applyAlignment="1"/>
    <xf numFmtId="9" fontId="1" fillId="0" borderId="0" xfId="48" applyFont="1" applyFill="1" applyAlignment="1"/>
    <xf numFmtId="2" fontId="1" fillId="0" borderId="0" xfId="48" applyNumberFormat="1" applyFont="1" applyFill="1" applyAlignment="1"/>
    <xf numFmtId="10" fontId="1" fillId="0" borderId="0" xfId="48" applyNumberFormat="1" applyFont="1" applyFill="1" applyAlignment="1"/>
    <xf numFmtId="0" fontId="1" fillId="0" borderId="0" xfId="0" applyFont="1" applyFill="1" applyAlignment="1">
      <alignment wrapText="1"/>
    </xf>
    <xf numFmtId="0" fontId="0" fillId="0" borderId="0" xfId="0" applyFill="1" applyAlignment="1"/>
    <xf numFmtId="0" fontId="5" fillId="0" borderId="0" xfId="0" applyFont="1" applyFill="1" applyAlignment="1"/>
    <xf numFmtId="0" fontId="0" fillId="0" borderId="1" xfId="0" applyFill="1" applyBorder="1" applyAlignment="1"/>
    <xf numFmtId="2" fontId="0" fillId="0" borderId="1" xfId="45" applyNumberFormat="1" applyFon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5" fillId="3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176" fontId="0" fillId="0" borderId="0" xfId="0" applyNumberForma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zoomScale="180" zoomScaleNormal="180" workbookViewId="0">
      <selection activeCell="B12" sqref="B12"/>
    </sheetView>
  </sheetViews>
  <sheetFormatPr defaultColWidth="9" defaultRowHeight="14" outlineLevelCol="3"/>
  <cols>
    <col min="1" max="1" width="27.140625" style="29" customWidth="1"/>
    <col min="2" max="2" width="12" style="29" customWidth="1"/>
    <col min="3" max="3" width="36.140625" style="29" customWidth="1"/>
    <col min="4" max="16384" width="9" style="29"/>
  </cols>
  <sheetData>
    <row r="1" spans="1:1">
      <c r="A1" s="30"/>
    </row>
    <row r="2" spans="1:1">
      <c r="A2" s="30"/>
    </row>
    <row r="4" spans="1:4">
      <c r="A4" s="31" t="s">
        <v>0</v>
      </c>
      <c r="B4" s="32">
        <v>100000</v>
      </c>
      <c r="C4" s="31" t="s">
        <v>1</v>
      </c>
      <c r="D4" s="31"/>
    </row>
    <row r="5" ht="98" spans="1:4">
      <c r="A5" s="31" t="s">
        <v>2</v>
      </c>
      <c r="B5" s="33">
        <v>0.1099</v>
      </c>
      <c r="C5" s="31" t="s">
        <v>3</v>
      </c>
      <c r="D5" s="34" t="s">
        <v>4</v>
      </c>
    </row>
    <row r="6" spans="1:4">
      <c r="A6" s="31" t="s">
        <v>5</v>
      </c>
      <c r="B6" s="35">
        <v>2</v>
      </c>
      <c r="C6" s="31" t="s">
        <v>6</v>
      </c>
      <c r="D6" s="31"/>
    </row>
    <row r="8" spans="1:1">
      <c r="A8" s="29" t="s">
        <v>7</v>
      </c>
    </row>
    <row r="9" spans="1:1">
      <c r="A9" s="29" t="s">
        <v>8</v>
      </c>
    </row>
    <row r="11" spans="1:2">
      <c r="A11" s="36" t="s">
        <v>9</v>
      </c>
      <c r="B11" s="37">
        <f>B4/(1+0.1099)^2</f>
        <v>81176.8691284618</v>
      </c>
    </row>
    <row r="12" spans="1:2">
      <c r="A12" s="29" t="s">
        <v>1</v>
      </c>
      <c r="B12" s="29">
        <f>B11*(1+0.1099)^2</f>
        <v>100000</v>
      </c>
    </row>
    <row r="14" spans="2:2">
      <c r="B14" s="3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5"/>
  <sheetViews>
    <sheetView tabSelected="1" zoomScale="166" zoomScaleNormal="166" topLeftCell="A44" workbookViewId="0">
      <selection activeCell="B53" sqref="B53"/>
    </sheetView>
  </sheetViews>
  <sheetFormatPr defaultColWidth="9" defaultRowHeight="14"/>
  <cols>
    <col min="1" max="1" width="46.1171875" style="1" customWidth="1"/>
    <col min="2" max="2" width="15.125" style="1" customWidth="1"/>
    <col min="3" max="3" width="8.078125" style="1" customWidth="1"/>
    <col min="4" max="4" width="8.234375" style="1" customWidth="1"/>
    <col min="5" max="5" width="6.9765625" style="1" customWidth="1"/>
    <col min="6" max="6" width="7.5" style="1" customWidth="1"/>
    <col min="7" max="7" width="7.140625" style="1" customWidth="1"/>
    <col min="8" max="8" width="5.5" style="1" customWidth="1"/>
    <col min="9" max="9" width="11.765625" style="1" customWidth="1"/>
    <col min="10" max="10" width="26.625" style="1" customWidth="1"/>
    <col min="11" max="11" width="24.125" style="1" customWidth="1"/>
    <col min="12" max="12" width="24.8125" style="1" customWidth="1"/>
    <col min="13" max="13" width="24.125" style="1" customWidth="1"/>
    <col min="14" max="14" width="19.875" style="1" customWidth="1"/>
    <col min="15" max="16384" width="9" style="1"/>
  </cols>
  <sheetData>
    <row r="1" ht="42" spans="1:8">
      <c r="A1" s="2" t="s">
        <v>10</v>
      </c>
      <c r="E1" s="1" t="s">
        <v>11</v>
      </c>
      <c r="G1" s="20" t="s">
        <v>12</v>
      </c>
      <c r="H1" s="20" t="s">
        <v>13</v>
      </c>
    </row>
    <row r="2" spans="1:8">
      <c r="A2" s="3" t="s">
        <v>14</v>
      </c>
      <c r="B2" s="3" t="s">
        <v>15</v>
      </c>
      <c r="E2" s="1" t="s">
        <v>16</v>
      </c>
      <c r="G2" s="21">
        <v>-14.65</v>
      </c>
      <c r="H2" s="21">
        <v>2000</v>
      </c>
    </row>
    <row r="3" spans="1:13">
      <c r="A3" s="1" t="s">
        <v>17</v>
      </c>
      <c r="B3" s="1" t="s">
        <v>18</v>
      </c>
      <c r="D3" s="4"/>
      <c r="E3" s="3" t="s">
        <v>19</v>
      </c>
      <c r="G3" s="21">
        <v>-16.18</v>
      </c>
      <c r="H3" s="21">
        <f t="shared" ref="H3:H22" si="0">H2+1</f>
        <v>2001</v>
      </c>
      <c r="L3" s="1" t="s">
        <v>20</v>
      </c>
      <c r="M3" s="1">
        <v>100000</v>
      </c>
    </row>
    <row r="4" ht="13" customHeight="1" spans="5:13">
      <c r="E4" s="1" t="s">
        <v>21</v>
      </c>
      <c r="F4" s="7">
        <v>7.3</v>
      </c>
      <c r="G4" s="21">
        <v>3.25</v>
      </c>
      <c r="H4" s="21">
        <f t="shared" si="0"/>
        <v>2002</v>
      </c>
      <c r="I4" s="28"/>
      <c r="J4" s="1" t="s">
        <v>22</v>
      </c>
      <c r="L4" s="1" t="s">
        <v>23</v>
      </c>
      <c r="M4" s="1">
        <v>20000</v>
      </c>
    </row>
    <row r="5" spans="1:13">
      <c r="A5" s="3" t="s">
        <v>24</v>
      </c>
      <c r="B5" s="3">
        <v>10</v>
      </c>
      <c r="D5" s="5"/>
      <c r="E5" s="1" t="s">
        <v>25</v>
      </c>
      <c r="F5" s="1">
        <v>15.5</v>
      </c>
      <c r="G5" s="21">
        <v>71.9</v>
      </c>
      <c r="H5" s="21">
        <f t="shared" si="0"/>
        <v>2003</v>
      </c>
      <c r="J5" s="1" t="s">
        <v>26</v>
      </c>
      <c r="L5" s="1" t="s">
        <v>27</v>
      </c>
      <c r="M5" s="1">
        <v>-20000</v>
      </c>
    </row>
    <row r="6" spans="1:13">
      <c r="A6" s="3" t="s">
        <v>28</v>
      </c>
      <c r="B6" s="3">
        <v>20</v>
      </c>
      <c r="D6" s="4"/>
      <c r="E6" s="1" t="s">
        <v>29</v>
      </c>
      <c r="F6" s="1">
        <v>0.47</v>
      </c>
      <c r="G6" s="21">
        <v>10.68</v>
      </c>
      <c r="H6" s="21">
        <f t="shared" si="0"/>
        <v>2004</v>
      </c>
      <c r="J6" s="1" t="s">
        <v>30</v>
      </c>
      <c r="K6" s="1" t="s">
        <v>31</v>
      </c>
      <c r="L6" s="1" t="s">
        <v>32</v>
      </c>
      <c r="M6" s="1">
        <v>100000</v>
      </c>
    </row>
    <row r="7" spans="1:13">
      <c r="A7" s="3" t="s">
        <v>33</v>
      </c>
      <c r="B7" s="6">
        <v>0.25</v>
      </c>
      <c r="E7" s="1" t="s">
        <v>34</v>
      </c>
      <c r="F7" s="22">
        <f>F4+(F5-F4)*F6</f>
        <v>11.154</v>
      </c>
      <c r="G7" s="21">
        <v>36.34</v>
      </c>
      <c r="H7" s="21">
        <f t="shared" si="0"/>
        <v>2005</v>
      </c>
      <c r="L7" s="2" t="s">
        <v>23</v>
      </c>
      <c r="M7" s="1">
        <v>20000</v>
      </c>
    </row>
    <row r="8" ht="15" customHeight="1" spans="1:13">
      <c r="A8" s="3" t="s">
        <v>35</v>
      </c>
      <c r="B8" s="3">
        <v>7</v>
      </c>
      <c r="E8" s="1" t="s">
        <v>36</v>
      </c>
      <c r="G8" s="21">
        <v>39.83</v>
      </c>
      <c r="H8" s="21">
        <f t="shared" si="0"/>
        <v>2006</v>
      </c>
      <c r="I8" s="28"/>
      <c r="J8" s="1" t="s">
        <v>22</v>
      </c>
      <c r="L8" s="1" t="s">
        <v>37</v>
      </c>
      <c r="M8" s="1">
        <v>-12000</v>
      </c>
    </row>
    <row r="9" spans="1:13">
      <c r="A9" s="3" t="s">
        <v>38</v>
      </c>
      <c r="B9" s="3">
        <v>1.1</v>
      </c>
      <c r="E9" s="1" t="s">
        <v>39</v>
      </c>
      <c r="G9" s="21">
        <v>54.77</v>
      </c>
      <c r="H9" s="21">
        <f t="shared" si="0"/>
        <v>2007</v>
      </c>
      <c r="J9" s="1" t="s">
        <v>40</v>
      </c>
      <c r="L9" s="1" t="s">
        <v>41</v>
      </c>
      <c r="M9" s="1">
        <v>8000</v>
      </c>
    </row>
    <row r="10" spans="1:13">
      <c r="A10" s="3" t="s">
        <v>42</v>
      </c>
      <c r="B10" s="3">
        <v>15</v>
      </c>
      <c r="E10" s="1" t="s">
        <v>43</v>
      </c>
      <c r="G10" s="21">
        <v>-51.79</v>
      </c>
      <c r="H10" s="21">
        <f t="shared" si="0"/>
        <v>2008</v>
      </c>
      <c r="J10" s="1" t="s">
        <v>44</v>
      </c>
      <c r="K10" s="1" t="s">
        <v>45</v>
      </c>
      <c r="L10" s="1" t="s">
        <v>46</v>
      </c>
      <c r="M10" s="1">
        <f>100000+8000</f>
        <v>108000</v>
      </c>
    </row>
    <row r="11" spans="1:14">
      <c r="A11" s="2"/>
      <c r="E11" s="3" t="s">
        <v>47</v>
      </c>
      <c r="F11" s="23">
        <f>F12*F14</f>
        <v>12.2111738604276</v>
      </c>
      <c r="G11" s="21">
        <v>75.76</v>
      </c>
      <c r="H11" s="21">
        <f t="shared" si="0"/>
        <v>2009</v>
      </c>
      <c r="L11" s="2" t="s">
        <v>23</v>
      </c>
      <c r="M11" s="1">
        <f>M10*0.2</f>
        <v>21600</v>
      </c>
      <c r="N11" s="1">
        <f>M11/M7-1</f>
        <v>0.0800000000000001</v>
      </c>
    </row>
    <row r="12" spans="1:15">
      <c r="A12" s="2" t="s">
        <v>48</v>
      </c>
      <c r="E12" s="1" t="s">
        <v>28</v>
      </c>
      <c r="F12" s="1">
        <v>108.5</v>
      </c>
      <c r="G12" s="21">
        <v>17.95</v>
      </c>
      <c r="H12" s="21">
        <f t="shared" si="0"/>
        <v>2010</v>
      </c>
      <c r="N12" s="1">
        <f>0.2*0.4</f>
        <v>0.08</v>
      </c>
      <c r="O12" s="1" t="s">
        <v>49</v>
      </c>
    </row>
    <row r="13" spans="1:15">
      <c r="A13" s="2"/>
      <c r="B13" s="7"/>
      <c r="E13" s="1" t="s">
        <v>50</v>
      </c>
      <c r="G13" s="21">
        <v>-24.62</v>
      </c>
      <c r="H13" s="21">
        <f t="shared" si="0"/>
        <v>2011</v>
      </c>
      <c r="J13" s="4"/>
      <c r="O13" s="4"/>
    </row>
    <row r="14" spans="1:15">
      <c r="A14" s="2" t="s">
        <v>51</v>
      </c>
      <c r="B14" s="7">
        <v>15.8</v>
      </c>
      <c r="E14" s="1" t="s">
        <v>52</v>
      </c>
      <c r="F14" s="24">
        <f>1-F19</f>
        <v>0.112545381202098</v>
      </c>
      <c r="G14" s="21">
        <v>27.7</v>
      </c>
      <c r="H14" s="21">
        <f t="shared" si="0"/>
        <v>2012</v>
      </c>
      <c r="O14" s="4"/>
    </row>
    <row r="15" spans="1:8">
      <c r="A15" s="2"/>
      <c r="E15" s="1" t="s">
        <v>53</v>
      </c>
      <c r="F15" s="11"/>
      <c r="G15" s="21">
        <v>6.76</v>
      </c>
      <c r="H15" s="21">
        <f t="shared" si="0"/>
        <v>2013</v>
      </c>
    </row>
    <row r="16" spans="1:12">
      <c r="A16" s="2" t="s">
        <v>54</v>
      </c>
      <c r="B16" s="1">
        <v>5</v>
      </c>
      <c r="E16" s="1" t="s">
        <v>55</v>
      </c>
      <c r="G16" s="21">
        <v>31.39</v>
      </c>
      <c r="H16" s="21">
        <f t="shared" si="0"/>
        <v>2014</v>
      </c>
      <c r="L16" s="2"/>
    </row>
    <row r="17" spans="1:8">
      <c r="A17" s="2"/>
      <c r="E17" s="1" t="s">
        <v>56</v>
      </c>
      <c r="F17" s="1">
        <v>220</v>
      </c>
      <c r="G17" s="21">
        <v>-4.06</v>
      </c>
      <c r="H17" s="21">
        <f t="shared" si="0"/>
        <v>2015</v>
      </c>
    </row>
    <row r="18" spans="1:10">
      <c r="A18" s="2" t="s">
        <v>14</v>
      </c>
      <c r="B18" s="1">
        <v>97.2</v>
      </c>
      <c r="E18" s="1" t="s">
        <v>57</v>
      </c>
      <c r="F18" s="1">
        <v>247.9</v>
      </c>
      <c r="G18" s="21">
        <v>3.01</v>
      </c>
      <c r="H18" s="21">
        <f t="shared" si="0"/>
        <v>2016</v>
      </c>
      <c r="J18" s="4"/>
    </row>
    <row r="19" spans="1:13">
      <c r="A19" s="2"/>
      <c r="E19" s="1" t="s">
        <v>58</v>
      </c>
      <c r="F19" s="25">
        <f>F17/F18</f>
        <v>0.887454618797902</v>
      </c>
      <c r="G19" s="21">
        <v>28.65</v>
      </c>
      <c r="H19" s="21">
        <f t="shared" si="0"/>
        <v>2017</v>
      </c>
      <c r="M19" s="25"/>
    </row>
    <row r="20" spans="1:13">
      <c r="A20" s="2" t="s">
        <v>51</v>
      </c>
      <c r="B20" s="1">
        <f>B8+(B10-B8)*B9</f>
        <v>15.8</v>
      </c>
      <c r="G20" s="21">
        <v>3.15</v>
      </c>
      <c r="H20" s="21">
        <f t="shared" si="0"/>
        <v>2018</v>
      </c>
      <c r="M20" s="25"/>
    </row>
    <row r="21" spans="1:8">
      <c r="A21" s="1" t="s">
        <v>54</v>
      </c>
      <c r="B21" s="1">
        <f>B6*B7</f>
        <v>5</v>
      </c>
      <c r="G21" s="21">
        <v>12.02</v>
      </c>
      <c r="H21" s="21">
        <f t="shared" si="0"/>
        <v>2019</v>
      </c>
    </row>
    <row r="22" spans="1:8">
      <c r="A22" s="2" t="s">
        <v>14</v>
      </c>
      <c r="B22" s="8">
        <f>B5*(1+0.05)/(0.158-0.05)</f>
        <v>97.2222222222222</v>
      </c>
      <c r="G22" s="21">
        <v>14.17</v>
      </c>
      <c r="H22" s="21">
        <f t="shared" si="0"/>
        <v>2020</v>
      </c>
    </row>
    <row r="23" spans="1:7">
      <c r="A23" s="1" t="s">
        <v>59</v>
      </c>
      <c r="B23" s="1">
        <v>150</v>
      </c>
      <c r="F23" s="26"/>
      <c r="G23" s="18"/>
    </row>
    <row r="24" spans="1:2">
      <c r="A24" s="1" t="s">
        <v>60</v>
      </c>
      <c r="B24" s="1" t="s">
        <v>61</v>
      </c>
    </row>
    <row r="25" spans="1:2">
      <c r="A25" s="1" t="s">
        <v>62</v>
      </c>
      <c r="B25" s="1" t="s">
        <v>63</v>
      </c>
    </row>
    <row r="26" spans="6:6">
      <c r="F26" s="27"/>
    </row>
    <row r="27" spans="1:1">
      <c r="A27" s="2"/>
    </row>
    <row r="31" spans="2:2">
      <c r="B31" s="9"/>
    </row>
    <row r="32" spans="2:3">
      <c r="B32" s="9"/>
      <c r="C32" s="9"/>
    </row>
    <row r="37" spans="1:1">
      <c r="A37" s="2" t="s">
        <v>64</v>
      </c>
    </row>
    <row r="38" spans="1:2">
      <c r="A38" s="1" t="s">
        <v>65</v>
      </c>
      <c r="B38" s="1" t="s">
        <v>66</v>
      </c>
    </row>
    <row r="39" spans="1:2">
      <c r="A39" s="1" t="s">
        <v>14</v>
      </c>
      <c r="B39" s="1" t="s">
        <v>67</v>
      </c>
    </row>
    <row r="41" spans="1:6">
      <c r="A41" s="1" t="s">
        <v>24</v>
      </c>
      <c r="B41" s="1">
        <v>10</v>
      </c>
      <c r="C41" s="10"/>
      <c r="D41" s="10"/>
      <c r="E41" s="10"/>
      <c r="F41" s="10"/>
    </row>
    <row r="42" spans="1:2">
      <c r="A42" s="1" t="s">
        <v>68</v>
      </c>
      <c r="B42" s="1">
        <v>0.1</v>
      </c>
    </row>
    <row r="43" spans="1:2">
      <c r="A43" s="1" t="s">
        <v>69</v>
      </c>
      <c r="B43" s="11">
        <v>0.05</v>
      </c>
    </row>
    <row r="44" spans="1:2">
      <c r="A44" s="1" t="s">
        <v>51</v>
      </c>
      <c r="B44" s="1">
        <v>0.158</v>
      </c>
    </row>
    <row r="45" spans="1:6">
      <c r="A45" s="1" t="s">
        <v>70</v>
      </c>
      <c r="C45" s="12" t="s">
        <v>71</v>
      </c>
      <c r="D45" s="12"/>
      <c r="E45" s="12"/>
      <c r="F45" s="2"/>
    </row>
    <row r="46" spans="1:6">
      <c r="A46" s="2" t="s">
        <v>72</v>
      </c>
      <c r="B46" s="2">
        <v>2023</v>
      </c>
      <c r="C46" s="1">
        <v>2024</v>
      </c>
      <c r="D46" s="1">
        <v>2025</v>
      </c>
      <c r="E46" s="1">
        <v>2026</v>
      </c>
      <c r="F46" s="1">
        <v>2027</v>
      </c>
    </row>
    <row r="47" spans="2:6">
      <c r="B47" s="2">
        <v>0</v>
      </c>
      <c r="C47" s="2">
        <v>1</v>
      </c>
      <c r="D47" s="2">
        <v>2</v>
      </c>
      <c r="E47" s="2">
        <v>3</v>
      </c>
      <c r="F47" s="2"/>
    </row>
    <row r="48" spans="1:5">
      <c r="A48" s="1" t="s">
        <v>73</v>
      </c>
      <c r="B48" s="2">
        <v>10</v>
      </c>
      <c r="C48" s="1">
        <f>B48*(1+$B$42)</f>
        <v>11</v>
      </c>
      <c r="D48" s="1">
        <f>C48*(1+$B$42)</f>
        <v>12.1</v>
      </c>
      <c r="E48" s="1">
        <f>D48*(1+$B$42)</f>
        <v>13.31</v>
      </c>
    </row>
    <row r="49" spans="1:5">
      <c r="A49" s="2" t="s">
        <v>74</v>
      </c>
      <c r="B49" s="2"/>
      <c r="C49" s="8">
        <f>C48/(1+$B$44)^C47</f>
        <v>9.49913644214162</v>
      </c>
      <c r="D49" s="8">
        <f>D48/(1+$B$44)^D47</f>
        <v>9.0233593146423</v>
      </c>
      <c r="E49" s="8">
        <f>E48/(1+$B$44)^E47</f>
        <v>8.57141212962568</v>
      </c>
    </row>
    <row r="50" spans="1:7">
      <c r="A50" s="2" t="s">
        <v>75</v>
      </c>
      <c r="B50" s="13">
        <f>SUM(C49:E49)</f>
        <v>27.0939078864096</v>
      </c>
      <c r="C50" s="7"/>
      <c r="G50" s="16"/>
    </row>
    <row r="51" spans="2:5">
      <c r="B51" s="11"/>
      <c r="C51" s="14"/>
      <c r="D51" s="15"/>
      <c r="E51" s="11"/>
    </row>
    <row r="52" spans="1:2">
      <c r="A52" s="2" t="s">
        <v>76</v>
      </c>
      <c r="B52" s="16"/>
    </row>
    <row r="53" spans="1:6">
      <c r="A53" s="1" t="s">
        <v>77</v>
      </c>
      <c r="B53" s="16"/>
      <c r="C53" s="7"/>
      <c r="F53" s="8">
        <f>E48*(1+B43)</f>
        <v>13.9755</v>
      </c>
    </row>
    <row r="54" spans="1:5">
      <c r="A54" s="2" t="s">
        <v>78</v>
      </c>
      <c r="B54" s="13"/>
      <c r="C54" s="7"/>
      <c r="E54" s="8">
        <f>F53/(B44-B43)</f>
        <v>129.402777777778</v>
      </c>
    </row>
    <row r="55" spans="1:2">
      <c r="A55" s="2" t="s">
        <v>79</v>
      </c>
      <c r="B55" s="13">
        <f>E54/(1+B44)^E47</f>
        <v>83.3331734824719</v>
      </c>
    </row>
    <row r="56" spans="1:2">
      <c r="A56" s="17"/>
      <c r="B56" s="13"/>
    </row>
    <row r="57" spans="1:2">
      <c r="A57" s="1" t="s">
        <v>80</v>
      </c>
      <c r="B57" s="18">
        <f>B55+B50</f>
        <v>110.427081368882</v>
      </c>
    </row>
    <row r="58" spans="1:2">
      <c r="A58" s="1" t="s">
        <v>59</v>
      </c>
      <c r="B58" s="2">
        <v>80</v>
      </c>
    </row>
    <row r="59" spans="1:2">
      <c r="A59" s="1" t="s">
        <v>60</v>
      </c>
      <c r="B59" s="19" t="s">
        <v>81</v>
      </c>
    </row>
    <row r="60" spans="1:2">
      <c r="A60" s="1" t="s">
        <v>62</v>
      </c>
      <c r="B60" s="19" t="s">
        <v>82</v>
      </c>
    </row>
    <row r="62" spans="1:2">
      <c r="A62" s="2"/>
      <c r="B62" s="13"/>
    </row>
    <row r="64" spans="1:2">
      <c r="A64" s="2"/>
      <c r="B64" s="13"/>
    </row>
    <row r="66" spans="1:3">
      <c r="A66" s="2"/>
      <c r="B66" s="2"/>
      <c r="C66" s="4"/>
    </row>
    <row r="73" spans="1:2">
      <c r="A73" s="2"/>
      <c r="B73" s="16"/>
    </row>
    <row r="75" spans="2:3">
      <c r="B75" s="16"/>
      <c r="C75" s="16"/>
    </row>
  </sheetData>
  <mergeCells count="2">
    <mergeCell ref="C41:F41"/>
    <mergeCell ref="C45:E45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TVM</vt:lpstr>
      <vt:lpstr>DDM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dcterms:created xsi:type="dcterms:W3CDTF">2022-07-05T11:36:00Z</dcterms:created>
  <dcterms:modified xsi:type="dcterms:W3CDTF">2024-01-28T14:09:15Z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