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20" activeTab="2"/>
  </bookViews>
  <sheets>
    <sheet name="DCF" sheetId="13" r:id="rId1"/>
    <sheet name="Relative" sheetId="14" r:id="rId2"/>
    <sheet name="Startup" sheetId="16" r:id="rId3"/>
  </sheets>
  <calcPr calcId="144525" concurrentCalc="0"/>
</workbook>
</file>

<file path=xl/sharedStrings.xml><?xml version="1.0" encoding="utf-8"?>
<sst xmlns="http://schemas.openxmlformats.org/spreadsheetml/2006/main" count="178">
  <si>
    <t xml:space="preserve">Q. Sol </t>
  </si>
  <si>
    <t>DCF Method</t>
  </si>
  <si>
    <t>Discounted Cash Flow Method</t>
  </si>
  <si>
    <t>Value of Firm - Enterprise Value</t>
  </si>
  <si>
    <t>Explicit Period</t>
  </si>
  <si>
    <t>Given:</t>
  </si>
  <si>
    <t>Particulars</t>
  </si>
  <si>
    <t>Tax Rate</t>
  </si>
  <si>
    <t>Years</t>
  </si>
  <si>
    <t>1-t</t>
  </si>
  <si>
    <t>Sales</t>
  </si>
  <si>
    <t>Dep Rate</t>
  </si>
  <si>
    <t>DBM</t>
  </si>
  <si>
    <t>Less</t>
  </si>
  <si>
    <t>Variable cost@30%</t>
  </si>
  <si>
    <t>Kd</t>
  </si>
  <si>
    <t>Cost of debt</t>
  </si>
  <si>
    <t>Fixed cost</t>
  </si>
  <si>
    <t>Wd</t>
  </si>
  <si>
    <t>EBITDA/Operating profit</t>
  </si>
  <si>
    <t>Ko(WACC)</t>
  </si>
  <si>
    <t>Firm</t>
  </si>
  <si>
    <t>Depreciation - Working note 1</t>
  </si>
  <si>
    <t>Growth Rate</t>
  </si>
  <si>
    <t>EBIT</t>
  </si>
  <si>
    <t>VC</t>
  </si>
  <si>
    <t>Revenue</t>
  </si>
  <si>
    <t>Tax@30%</t>
  </si>
  <si>
    <t>WC(CA)</t>
  </si>
  <si>
    <t>EBIT*(1-T)</t>
  </si>
  <si>
    <t>We</t>
  </si>
  <si>
    <t>Add</t>
  </si>
  <si>
    <t>Ke</t>
  </si>
  <si>
    <t>?</t>
  </si>
  <si>
    <t>Capex</t>
  </si>
  <si>
    <t>Kdt</t>
  </si>
  <si>
    <t>Working capital investment/change in working capital - w.n.2</t>
  </si>
  <si>
    <t>Free Cash flow to the Firm</t>
  </si>
  <si>
    <t>Working note 1</t>
  </si>
  <si>
    <t>Present value of FCFF - Expected FCFF/(1+Ko)^n</t>
  </si>
  <si>
    <t>Calculation of Depreciation</t>
  </si>
  <si>
    <t>Explicit period value - A</t>
  </si>
  <si>
    <t>Opening balance of Long term assets</t>
  </si>
  <si>
    <t>Terminal period value - FCFF2027*(1+g)/(KO-g)</t>
  </si>
  <si>
    <t>Capex Buying</t>
  </si>
  <si>
    <t>Expected FCFF for 2028 - FCFF2027*(1+G)</t>
  </si>
  <si>
    <t>Gross Fixed assets</t>
  </si>
  <si>
    <t>Terminal period value for the year end 2027=FCFF2028/(Ko-g)</t>
  </si>
  <si>
    <t>Depreciation@10%</t>
  </si>
  <si>
    <t>Present value of terminal period - V4/(1+Ko)^4 - B</t>
  </si>
  <si>
    <t>Closing Balance of Long term assets</t>
  </si>
  <si>
    <t>Enterprise Value - A+B</t>
  </si>
  <si>
    <t>Working note 2</t>
  </si>
  <si>
    <t>Acquisation Price</t>
  </si>
  <si>
    <t>Calculation of change in working capital</t>
  </si>
  <si>
    <t>Goodwill</t>
  </si>
  <si>
    <t>Working capital</t>
  </si>
  <si>
    <t>Value of Equity</t>
  </si>
  <si>
    <t>FCFE</t>
  </si>
  <si>
    <t>Change in working capital</t>
  </si>
  <si>
    <t xml:space="preserve">Working Note 3 </t>
  </si>
  <si>
    <t>Calculation of Interest cost</t>
  </si>
  <si>
    <t>Opening Balance of debt</t>
  </si>
  <si>
    <t>Interest cost@12%</t>
  </si>
  <si>
    <t>Repayment of debt@10%</t>
  </si>
  <si>
    <t>If company pays interest - Tax paid 34650</t>
  </si>
  <si>
    <t>Closing Balance of Debt</t>
  </si>
  <si>
    <t>Interest@12% - Working Note 3</t>
  </si>
  <si>
    <t>if company does not pay interest - Tax paid 40050</t>
  </si>
  <si>
    <t>EBT</t>
  </si>
  <si>
    <t>Tax saving due to payment of interest - 5400</t>
  </si>
  <si>
    <t>Working Note 4</t>
  </si>
  <si>
    <t>Net effective interest cost - 18000-5400 = 12600</t>
  </si>
  <si>
    <t>Claculation of Cost of Equity</t>
  </si>
  <si>
    <t>PAT</t>
  </si>
  <si>
    <t>Net effective interest rate - 12600/150000*100 = 8.4%</t>
  </si>
  <si>
    <t>Kdt - Kd*(1-t)</t>
  </si>
  <si>
    <t>WACC/Ko</t>
  </si>
  <si>
    <t>Ke+Kd</t>
  </si>
  <si>
    <t>(Ke*we)+(Kd*wd)</t>
  </si>
  <si>
    <t>(Ke*we)+(Kdt*wd)</t>
  </si>
  <si>
    <t>Repayment of Debt - W.N.3</t>
  </si>
  <si>
    <t>Free Cash flow to the equity</t>
  </si>
  <si>
    <t>(WACC- Kdt*wd)/we</t>
  </si>
  <si>
    <t>Present values of the expected FCFE - Expected FCFE/(1+Df)^n</t>
  </si>
  <si>
    <t>Terminal period value - FCFE2027*(1+g)/(Ke-g)</t>
  </si>
  <si>
    <t>Expected FCFE for 2028 - FCFE2027*(1+G)</t>
  </si>
  <si>
    <t>Terminal period value for the year end 2027=FCFE2028/(KE-g)</t>
  </si>
  <si>
    <t>Present value of terminal period - V4/(1+Ke)^4 - B</t>
  </si>
  <si>
    <t>Intrinsic Value of Equity - A+B</t>
  </si>
  <si>
    <t>Div</t>
  </si>
  <si>
    <t>No of equity shares - (Equity capital/Face value per share)</t>
  </si>
  <si>
    <t>IV Per equity shares</t>
  </si>
  <si>
    <t>Face Value per equity share</t>
  </si>
  <si>
    <t>CMP</t>
  </si>
  <si>
    <t>Book value per equity - (Total equity capital,Networth/No of equity shares)</t>
  </si>
  <si>
    <t>Industry Average pe</t>
  </si>
  <si>
    <t xml:space="preserve">Income Statement of A Ltd.  </t>
  </si>
  <si>
    <t>EPS of A ltd</t>
  </si>
  <si>
    <t xml:space="preserve">Particulars </t>
  </si>
  <si>
    <r>
      <rPr>
        <b/>
        <sz val="12"/>
        <color theme="1"/>
        <rFont val="Arial"/>
        <charset val="134"/>
      </rPr>
      <t xml:space="preserve">2015 </t>
    </r>
    <r>
      <rPr>
        <b/>
        <sz val="12"/>
        <color theme="1"/>
        <rFont val="Times New Roman"/>
        <charset val="134"/>
      </rPr>
      <t>₹</t>
    </r>
    <r>
      <rPr>
        <b/>
        <sz val="12"/>
        <color theme="1"/>
        <rFont val="Arial"/>
        <charset val="134"/>
      </rPr>
      <t xml:space="preserve"> in lakhs </t>
    </r>
  </si>
  <si>
    <t>Price of A ltd in the market</t>
  </si>
  <si>
    <t xml:space="preserve">Net Sales </t>
  </si>
  <si>
    <t xml:space="preserve">Other Income </t>
  </si>
  <si>
    <t xml:space="preserve">Total Income </t>
  </si>
  <si>
    <t>Income</t>
  </si>
  <si>
    <t xml:space="preserve">Cost Of Material Consumed </t>
  </si>
  <si>
    <t>Less Expenses</t>
  </si>
  <si>
    <t xml:space="preserve">Changes In Inventories </t>
  </si>
  <si>
    <t>PBT</t>
  </si>
  <si>
    <t xml:space="preserve">Employee Cost </t>
  </si>
  <si>
    <t>Less - taxes</t>
  </si>
  <si>
    <t xml:space="preserve">Finance Cost- Interest </t>
  </si>
  <si>
    <t xml:space="preserve">Depreciation And Amortization Expenses </t>
  </si>
  <si>
    <t>Div - No of equity shares</t>
  </si>
  <si>
    <t xml:space="preserve">Other Expenses </t>
  </si>
  <si>
    <t xml:space="preserve">Exceptional Income </t>
  </si>
  <si>
    <t xml:space="preserve">No. Of Equity Shares </t>
  </si>
  <si>
    <t xml:space="preserve">Tax rate=35% </t>
  </si>
  <si>
    <t xml:space="preserve">Details of peer group company </t>
  </si>
  <si>
    <t xml:space="preserve">Name of the company </t>
  </si>
  <si>
    <t>x</t>
  </si>
  <si>
    <t>y</t>
  </si>
  <si>
    <t>Z</t>
  </si>
  <si>
    <t>EPS</t>
  </si>
  <si>
    <t>MPS</t>
  </si>
  <si>
    <t>P/E</t>
  </si>
  <si>
    <t>Calculate whether TCS is overpriced or underpriced as on December 31, 2023 using TTM PE</t>
  </si>
  <si>
    <t>Market Price as on December 31, 2023</t>
  </si>
  <si>
    <t>TTM EPS as on Dec 31, 2023</t>
  </si>
  <si>
    <t>TTM P/E as on Dec 31, 2023</t>
  </si>
  <si>
    <t>Infy</t>
  </si>
  <si>
    <t>Wipro</t>
  </si>
  <si>
    <t>HCL</t>
  </si>
  <si>
    <t>Average Industry IT TTM PE</t>
  </si>
  <si>
    <t>TCS TTM EPS as on 31.12.2023</t>
  </si>
  <si>
    <t>What should be the price of TCS as on 31.12.2023</t>
  </si>
  <si>
    <t>What was the price of TCS as on 31.12.2023</t>
  </si>
  <si>
    <t>What is the current price of TCS as on date</t>
  </si>
  <si>
    <t>Overly priced</t>
  </si>
  <si>
    <t>Startup Case:</t>
  </si>
  <si>
    <t>Sol.:</t>
  </si>
  <si>
    <t>Ownership Position = Req Value of PE Investor
/Est Eq Share Value</t>
  </si>
  <si>
    <t>Ownership Position of the Investor</t>
  </si>
  <si>
    <t>A</t>
  </si>
  <si>
    <t>Req Value of PE Investor</t>
  </si>
  <si>
    <t>FV = PV*(1+i)^n</t>
  </si>
  <si>
    <t>Post money investment of the firm's equity</t>
  </si>
  <si>
    <t>Pre-money investment</t>
  </si>
  <si>
    <t>mn</t>
  </si>
  <si>
    <t>B</t>
  </si>
  <si>
    <t>Est Eq Share Value</t>
  </si>
  <si>
    <t>Proj EBITDA * EBITDA Multiple + Cash - Debt</t>
  </si>
  <si>
    <t>Kpe</t>
  </si>
  <si>
    <t>PE Investment</t>
  </si>
  <si>
    <t>Projected EBITDA</t>
  </si>
  <si>
    <t>Debt</t>
  </si>
  <si>
    <t>Therefore, OP (A/B)</t>
  </si>
  <si>
    <t>Cash</t>
  </si>
  <si>
    <t>AVG of Industry</t>
  </si>
  <si>
    <t>EBITDA Multiple -EV/EBITDA</t>
  </si>
  <si>
    <t>times</t>
  </si>
  <si>
    <t>Post-money Investment value:</t>
  </si>
  <si>
    <t>Walmart - Flipkart Deal</t>
  </si>
  <si>
    <t>Investment for a period</t>
  </si>
  <si>
    <t>years</t>
  </si>
  <si>
    <t>Funds invested by PE</t>
  </si>
  <si>
    <t>Walmart Inv</t>
  </si>
  <si>
    <t>Ownership Position</t>
  </si>
  <si>
    <t>OP</t>
  </si>
  <si>
    <t>100%??</t>
  </si>
  <si>
    <t>Therefore, Post-money (A/B)</t>
  </si>
  <si>
    <t>Post-Money</t>
  </si>
  <si>
    <t>Pre Money</t>
  </si>
  <si>
    <t>Pre-money Invesment:</t>
  </si>
  <si>
    <t>Post Money Inv</t>
  </si>
  <si>
    <t>Therefore, Pre-money Inv</t>
  </si>
  <si>
    <t>(A-B)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</si>
</sst>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_ "/>
    <numFmt numFmtId="178" formatCode="0.00_);[Red]\(0.00\)"/>
    <numFmt numFmtId="179" formatCode="0.0000"/>
    <numFmt numFmtId="180" formatCode="_ * #,##0_ ;_ * \-#,##0_ ;_ * &quot;-&quot;??_ ;_ @_ 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81" formatCode="_ * #,##0.00_ ;_ * \-#,##0.00_ ;_ * &quot;-&quot;??_ ;_ @_ "/>
    <numFmt numFmtId="41" formatCode="_-* #,##0_-;\-* #,##0_-;_-* &quot;-&quot;_-;_-@_-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u/>
      <sz val="11"/>
      <color theme="10"/>
      <name val="Calibri"/>
      <charset val="134"/>
      <scheme val="minor"/>
    </font>
    <font>
      <sz val="12"/>
      <name val="Arial"/>
      <charset val="134"/>
    </font>
    <font>
      <u/>
      <sz val="11"/>
      <name val="Calibri"/>
      <charset val="134"/>
      <scheme val="minor"/>
    </font>
    <font>
      <b/>
      <u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2"/>
      <color theme="1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2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14" fillId="0" borderId="6" applyNumberFormat="0" applyFill="0" applyAlignment="0" applyProtection="0">
      <alignment vertical="center"/>
    </xf>
    <xf numFmtId="181" fontId="0" fillId="0" borderId="0" applyFont="0" applyFill="0" applyBorder="0" applyAlignment="0" applyProtection="0"/>
    <xf numFmtId="0" fontId="18" fillId="7" borderId="7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/>
    <xf numFmtId="0" fontId="1" fillId="0" borderId="0" xfId="0" applyFont="1" applyFill="1"/>
    <xf numFmtId="180" fontId="0" fillId="0" borderId="0" xfId="45" applyNumberFormat="1" applyFill="1"/>
    <xf numFmtId="0" fontId="1" fillId="0" borderId="0" xfId="0" applyFont="1" applyFill="1" applyAlignment="1">
      <alignment wrapText="1"/>
    </xf>
    <xf numFmtId="9" fontId="1" fillId="0" borderId="0" xfId="48" applyFont="1" applyFill="1"/>
    <xf numFmtId="0" fontId="2" fillId="0" borderId="0" xfId="0" applyFont="1" applyFill="1"/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wrapText="1"/>
    </xf>
    <xf numFmtId="0" fontId="3" fillId="0" borderId="0" xfId="0" applyFont="1" applyFill="1"/>
    <xf numFmtId="179" fontId="3" fillId="0" borderId="0" xfId="48" applyNumberFormat="1" applyFont="1" applyFill="1"/>
    <xf numFmtId="179" fontId="2" fillId="0" borderId="0" xfId="0" applyNumberFormat="1" applyFont="1" applyFill="1"/>
    <xf numFmtId="9" fontId="2" fillId="0" borderId="0" xfId="0" applyNumberFormat="1" applyFont="1" applyFill="1"/>
    <xf numFmtId="9" fontId="0" fillId="0" borderId="0" xfId="0" applyNumberFormat="1" applyFill="1"/>
    <xf numFmtId="0" fontId="0" fillId="0" borderId="0" xfId="0" applyNumberFormat="1" applyFill="1"/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Font="1" applyFill="1"/>
    <xf numFmtId="0" fontId="6" fillId="0" borderId="0" xfId="0" applyFont="1" applyFill="1" applyAlignment="1">
      <alignment vertical="center"/>
    </xf>
    <xf numFmtId="0" fontId="2" fillId="0" borderId="0" xfId="0" applyFont="1" applyFill="1" applyBorder="1"/>
    <xf numFmtId="0" fontId="6" fillId="0" borderId="1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181" fontId="1" fillId="0" borderId="0" xfId="45" applyFont="1" applyFill="1"/>
    <xf numFmtId="0" fontId="5" fillId="0" borderId="3" xfId="0" applyFont="1" applyFill="1" applyBorder="1" applyAlignment="1">
      <alignment vertical="center" wrapText="1"/>
    </xf>
    <xf numFmtId="3" fontId="5" fillId="0" borderId="4" xfId="0" applyNumberFormat="1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vertical="center" wrapText="1"/>
    </xf>
    <xf numFmtId="3" fontId="6" fillId="0" borderId="4" xfId="0" applyNumberFormat="1" applyFont="1" applyFill="1" applyBorder="1" applyAlignment="1">
      <alignment horizontal="right" vertical="center" wrapText="1"/>
    </xf>
    <xf numFmtId="0" fontId="7" fillId="0" borderId="0" xfId="43" applyFill="1" applyBorder="1"/>
    <xf numFmtId="0" fontId="7" fillId="0" borderId="0" xfId="43" applyFill="1"/>
    <xf numFmtId="181" fontId="3" fillId="0" borderId="0" xfId="45" applyFont="1" applyFill="1" applyBorder="1"/>
    <xf numFmtId="0" fontId="3" fillId="0" borderId="0" xfId="0" applyFont="1" applyFill="1" applyBorder="1"/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180" fontId="1" fillId="0" borderId="0" xfId="45" applyNumberFormat="1" applyFont="1" applyFill="1" applyBorder="1" applyAlignment="1">
      <alignment wrapText="1"/>
    </xf>
    <xf numFmtId="0" fontId="1" fillId="0" borderId="0" xfId="0" applyFont="1" applyFill="1" applyBorder="1"/>
    <xf numFmtId="180" fontId="1" fillId="0" borderId="0" xfId="45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180" fontId="0" fillId="0" borderId="0" xfId="45" applyNumberFormat="1" applyFont="1" applyFill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180" fontId="0" fillId="0" borderId="5" xfId="45" applyNumberFormat="1" applyFont="1" applyFill="1" applyBorder="1"/>
    <xf numFmtId="0" fontId="0" fillId="0" borderId="5" xfId="0" applyFill="1" applyBorder="1"/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180" fontId="1" fillId="0" borderId="5" xfId="45" applyNumberFormat="1" applyFont="1" applyFill="1" applyBorder="1" applyAlignment="1">
      <alignment horizontal="left"/>
    </xf>
    <xf numFmtId="180" fontId="0" fillId="0" borderId="0" xfId="45" applyNumberFormat="1" applyFill="1" applyBorder="1" applyAlignment="1">
      <alignment horizontal="left"/>
    </xf>
    <xf numFmtId="0" fontId="1" fillId="0" borderId="0" xfId="0" applyFont="1" applyFill="1" applyBorder="1" applyAlignment="1">
      <alignment horizontal="left" vertical="top" wrapText="1"/>
    </xf>
    <xf numFmtId="178" fontId="0" fillId="0" borderId="0" xfId="0" applyNumberFormat="1" applyAlignment="1">
      <alignment horizontal="left"/>
    </xf>
    <xf numFmtId="177" fontId="0" fillId="0" borderId="0" xfId="0" applyNumberFormat="1" applyFill="1" applyBorder="1" applyAlignment="1">
      <alignment horizontal="right"/>
    </xf>
    <xf numFmtId="178" fontId="1" fillId="0" borderId="0" xfId="0" applyNumberFormat="1" applyFont="1" applyFill="1" applyBorder="1" applyAlignment="1">
      <alignment horizontal="left"/>
    </xf>
    <xf numFmtId="177" fontId="0" fillId="0" borderId="0" xfId="0" applyNumberFormat="1" applyFill="1" applyAlignment="1">
      <alignment horizontal="right"/>
    </xf>
    <xf numFmtId="177" fontId="0" fillId="0" borderId="0" xfId="0" applyNumberFormat="1" applyFill="1" applyAlignment="1">
      <alignment horizontal="left"/>
    </xf>
    <xf numFmtId="180" fontId="0" fillId="0" borderId="0" xfId="45" applyNumberFormat="1" applyFill="1" applyAlignment="1">
      <alignment horizontal="right"/>
    </xf>
    <xf numFmtId="176" fontId="1" fillId="0" borderId="0" xfId="0" applyNumberFormat="1" applyFont="1" applyFill="1" applyBorder="1" applyAlignment="1">
      <alignment horizontal="left"/>
    </xf>
    <xf numFmtId="0" fontId="0" fillId="0" borderId="0" xfId="0" applyFill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81" fontId="2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181" fontId="3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3" fontId="2" fillId="0" borderId="0" xfId="0" applyNumberFormat="1" applyFont="1" applyFill="1"/>
    <xf numFmtId="3" fontId="3" fillId="0" borderId="0" xfId="0" applyNumberFormat="1" applyFont="1" applyFill="1" applyBorder="1"/>
    <xf numFmtId="0" fontId="8" fillId="0" borderId="0" xfId="0" applyFont="1" applyFill="1" applyBorder="1" applyAlignment="1">
      <alignment vertical="center" wrapText="1"/>
    </xf>
    <xf numFmtId="3" fontId="2" fillId="0" borderId="0" xfId="0" applyNumberFormat="1" applyFont="1" applyFill="1" applyBorder="1"/>
    <xf numFmtId="4" fontId="2" fillId="0" borderId="0" xfId="0" applyNumberFormat="1" applyFont="1" applyFill="1"/>
    <xf numFmtId="4" fontId="3" fillId="0" borderId="0" xfId="0" applyNumberFormat="1" applyFont="1" applyFill="1"/>
    <xf numFmtId="181" fontId="2" fillId="0" borderId="0" xfId="45" applyFont="1" applyFill="1"/>
    <xf numFmtId="3" fontId="3" fillId="0" borderId="0" xfId="0" applyNumberFormat="1" applyFont="1" applyFill="1"/>
    <xf numFmtId="0" fontId="5" fillId="0" borderId="0" xfId="0" applyFont="1" applyFill="1" applyBorder="1" applyAlignment="1">
      <alignment vertical="center" wrapText="1"/>
    </xf>
    <xf numFmtId="0" fontId="0" fillId="0" borderId="0" xfId="0" applyBorder="1"/>
    <xf numFmtId="181" fontId="0" fillId="0" borderId="0" xfId="45" applyFill="1" applyBorder="1" applyAlignment="1">
      <alignment horizontal="left"/>
    </xf>
    <xf numFmtId="0" fontId="9" fillId="0" borderId="0" xfId="43" applyFont="1" applyFill="1"/>
    <xf numFmtId="0" fontId="2" fillId="2" borderId="0" xfId="0" applyFont="1" applyFill="1"/>
    <xf numFmtId="0" fontId="9" fillId="2" borderId="0" xfId="43" applyFont="1" applyFill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10" fillId="0" borderId="0" xfId="43" applyFont="1" applyFill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180" fontId="3" fillId="0" borderId="0" xfId="45" applyNumberFormat="1" applyFont="1" applyFill="1"/>
    <xf numFmtId="180" fontId="2" fillId="0" borderId="0" xfId="45" applyNumberFormat="1" applyFont="1" applyFill="1"/>
    <xf numFmtId="9" fontId="2" fillId="0" borderId="0" xfId="0" applyNumberFormat="1" applyFont="1" applyFill="1"/>
    <xf numFmtId="0" fontId="11" fillId="0" borderId="0" xfId="0" applyFont="1" applyFill="1"/>
    <xf numFmtId="181" fontId="2" fillId="0" borderId="0" xfId="0" applyNumberFormat="1" applyFont="1" applyFill="1"/>
    <xf numFmtId="181" fontId="3" fillId="0" borderId="0" xfId="0" applyNumberFormat="1" applyFont="1" applyFill="1"/>
    <xf numFmtId="176" fontId="3" fillId="0" borderId="0" xfId="0" applyNumberFormat="1" applyFont="1" applyFill="1"/>
    <xf numFmtId="0" fontId="2" fillId="3" borderId="0" xfId="0" applyFont="1" applyFill="1"/>
    <xf numFmtId="0" fontId="2" fillId="0" borderId="0" xfId="0" applyFont="1" applyFill="1" applyAlignment="1">
      <alignment horizontal="right"/>
    </xf>
    <xf numFmtId="0" fontId="7" fillId="0" borderId="0" xfId="43" applyFill="1" applyAlignment="1">
      <alignment horizontal="left"/>
    </xf>
    <xf numFmtId="0" fontId="9" fillId="0" borderId="0" xfId="43" applyFont="1" applyFill="1" applyBorder="1"/>
    <xf numFmtId="0" fontId="9" fillId="0" borderId="0" xfId="43" applyFont="1" applyFill="1" applyAlignment="1">
      <alignment horizontal="center"/>
    </xf>
    <xf numFmtId="0" fontId="3" fillId="0" borderId="0" xfId="0" applyFont="1" applyFill="1" applyAlignment="1">
      <alignment horizontal="left"/>
    </xf>
    <xf numFmtId="176" fontId="2" fillId="0" borderId="0" xfId="0" applyNumberFormat="1" applyFont="1" applyFill="1"/>
    <xf numFmtId="176" fontId="2" fillId="2" borderId="0" xfId="0" applyNumberFormat="1" applyFont="1" applyFill="1"/>
    <xf numFmtId="9" fontId="3" fillId="0" borderId="0" xfId="0" applyNumberFormat="1" applyFont="1" applyFill="1"/>
    <xf numFmtId="10" fontId="2" fillId="0" borderId="0" xfId="48" applyNumberFormat="1" applyFont="1" applyFill="1"/>
    <xf numFmtId="176" fontId="9" fillId="0" borderId="0" xfId="43" applyNumberFormat="1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ax@30%" TargetMode="External"/><Relationship Id="rId1" Type="http://schemas.openxmlformats.org/officeDocument/2006/relationships/hyperlink" Target="mailto:Depreciation@10%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3"/>
  <sheetViews>
    <sheetView zoomScale="140" zoomScaleNormal="140" topLeftCell="C38" workbookViewId="0">
      <selection activeCell="E50" sqref="E50"/>
    </sheetView>
  </sheetViews>
  <sheetFormatPr defaultColWidth="9" defaultRowHeight="14"/>
  <cols>
    <col min="1" max="1" width="9" style="19"/>
    <col min="2" max="2" width="30.140625" style="19" customWidth="1"/>
    <col min="3" max="3" width="4.5546875" style="19" customWidth="1"/>
    <col min="4" max="4" width="50.125" style="19" customWidth="1"/>
    <col min="5" max="5" width="12.6875" style="19" customWidth="1"/>
    <col min="6" max="6" width="10.4296875" style="19" customWidth="1"/>
    <col min="7" max="7" width="13.9453125" style="19" customWidth="1"/>
    <col min="8" max="10" width="12.5703125" style="19" customWidth="1"/>
    <col min="11" max="11" width="43.15625" style="19" customWidth="1"/>
    <col min="12" max="12" width="31.6875" style="19" customWidth="1"/>
    <col min="13" max="13" width="15.6875" style="19" customWidth="1"/>
    <col min="14" max="14" width="15.4296875" style="19" customWidth="1"/>
    <col min="15" max="15" width="10.5625" style="19" customWidth="1"/>
    <col min="16" max="16" width="9.765625" style="19" customWidth="1"/>
    <col min="17" max="16384" width="9" style="19"/>
  </cols>
  <sheetData>
    <row r="1" spans="1:7">
      <c r="A1" s="18" t="s">
        <v>0</v>
      </c>
      <c r="B1" s="18" t="s">
        <v>1</v>
      </c>
      <c r="D1" s="18" t="s">
        <v>2</v>
      </c>
      <c r="G1" s="18" t="s">
        <v>3</v>
      </c>
    </row>
    <row r="2" spans="2:14">
      <c r="B2" s="18"/>
      <c r="C2" s="18"/>
      <c r="F2" s="91" t="s">
        <v>4</v>
      </c>
      <c r="G2" s="91"/>
      <c r="H2" s="91"/>
      <c r="I2" s="91"/>
      <c r="J2" s="91"/>
      <c r="L2" s="99" t="s">
        <v>5</v>
      </c>
      <c r="M2" s="99"/>
      <c r="N2" s="99"/>
    </row>
    <row r="3" spans="3:14">
      <c r="C3" s="18"/>
      <c r="D3" s="18" t="s">
        <v>6</v>
      </c>
      <c r="E3" s="18">
        <v>0</v>
      </c>
      <c r="F3" s="18">
        <v>1</v>
      </c>
      <c r="G3" s="18">
        <v>2</v>
      </c>
      <c r="H3" s="18">
        <v>3</v>
      </c>
      <c r="I3" s="18">
        <v>4</v>
      </c>
      <c r="J3" s="18">
        <v>5</v>
      </c>
      <c r="L3" s="99" t="s">
        <v>7</v>
      </c>
      <c r="M3" s="99">
        <v>0.3</v>
      </c>
      <c r="N3" s="99"/>
    </row>
    <row r="4" spans="4:14">
      <c r="D4" s="18" t="s">
        <v>8</v>
      </c>
      <c r="E4" s="18">
        <v>2023</v>
      </c>
      <c r="F4" s="18">
        <v>2024</v>
      </c>
      <c r="G4" s="18">
        <v>2025</v>
      </c>
      <c r="H4" s="18">
        <v>2026</v>
      </c>
      <c r="I4" s="18">
        <v>2027</v>
      </c>
      <c r="J4" s="18">
        <v>2028</v>
      </c>
      <c r="L4" s="99" t="s">
        <v>9</v>
      </c>
      <c r="M4" s="99">
        <f>1-M3</f>
        <v>0.7</v>
      </c>
      <c r="N4" s="99"/>
    </row>
    <row r="5" spans="4:14">
      <c r="D5" s="18" t="s">
        <v>10</v>
      </c>
      <c r="F5" s="19">
        <v>280000</v>
      </c>
      <c r="G5" s="19">
        <v>350000</v>
      </c>
      <c r="H5" s="19">
        <v>330000</v>
      </c>
      <c r="I5" s="19">
        <v>460000</v>
      </c>
      <c r="L5" s="99" t="s">
        <v>11</v>
      </c>
      <c r="M5" s="99">
        <v>0.1</v>
      </c>
      <c r="N5" s="99" t="s">
        <v>12</v>
      </c>
    </row>
    <row r="6" spans="3:14">
      <c r="C6" s="19" t="s">
        <v>13</v>
      </c>
      <c r="D6" s="19" t="s">
        <v>14</v>
      </c>
      <c r="E6" s="18"/>
      <c r="F6" s="19">
        <f t="shared" ref="F6:I6" si="0">F5*$M$10</f>
        <v>84000</v>
      </c>
      <c r="G6" s="19">
        <f t="shared" si="0"/>
        <v>105000</v>
      </c>
      <c r="H6" s="19">
        <f t="shared" si="0"/>
        <v>99000</v>
      </c>
      <c r="I6" s="19">
        <f t="shared" si="0"/>
        <v>138000</v>
      </c>
      <c r="L6" s="99" t="s">
        <v>15</v>
      </c>
      <c r="M6" s="99">
        <v>0.12</v>
      </c>
      <c r="N6" s="99" t="s">
        <v>16</v>
      </c>
    </row>
    <row r="7" spans="2:14">
      <c r="B7" s="18"/>
      <c r="C7" s="19" t="s">
        <v>13</v>
      </c>
      <c r="D7" s="84" t="s">
        <v>17</v>
      </c>
      <c r="F7" s="19">
        <v>25000</v>
      </c>
      <c r="G7" s="19">
        <v>25000</v>
      </c>
      <c r="H7" s="19">
        <v>40000</v>
      </c>
      <c r="I7" s="19">
        <v>40000</v>
      </c>
      <c r="L7" s="99" t="s">
        <v>18</v>
      </c>
      <c r="M7" s="99">
        <f>150/350</f>
        <v>0.428571428571429</v>
      </c>
      <c r="N7" s="99"/>
    </row>
    <row r="8" ht="13" customHeight="1" spans="4:14">
      <c r="D8" s="84" t="s">
        <v>19</v>
      </c>
      <c r="F8" s="18">
        <f t="shared" ref="F8:I8" si="1">F5-F6-F7</f>
        <v>171000</v>
      </c>
      <c r="G8" s="18">
        <f t="shared" si="1"/>
        <v>220000</v>
      </c>
      <c r="H8" s="18">
        <f t="shared" si="1"/>
        <v>191000</v>
      </c>
      <c r="I8" s="18">
        <f t="shared" si="1"/>
        <v>282000</v>
      </c>
      <c r="L8" s="99" t="s">
        <v>20</v>
      </c>
      <c r="M8" s="99">
        <v>0.15</v>
      </c>
      <c r="N8" s="99" t="s">
        <v>21</v>
      </c>
    </row>
    <row r="9" spans="2:14">
      <c r="B9" s="18"/>
      <c r="C9" s="18" t="s">
        <v>13</v>
      </c>
      <c r="D9" s="18" t="s">
        <v>22</v>
      </c>
      <c r="E9" s="18"/>
      <c r="F9" s="18">
        <f t="shared" ref="F9:I9" si="2">M22</f>
        <v>37500</v>
      </c>
      <c r="G9" s="18">
        <f t="shared" si="2"/>
        <v>41250</v>
      </c>
      <c r="H9" s="18">
        <f t="shared" si="2"/>
        <v>47125</v>
      </c>
      <c r="I9" s="18">
        <f t="shared" si="2"/>
        <v>57412.5</v>
      </c>
      <c r="J9" s="18"/>
      <c r="L9" s="99" t="s">
        <v>23</v>
      </c>
      <c r="M9" s="99">
        <v>0.05</v>
      </c>
      <c r="N9" s="99"/>
    </row>
    <row r="10" spans="4:14">
      <c r="D10" s="84" t="s">
        <v>24</v>
      </c>
      <c r="F10" s="19">
        <f t="shared" ref="F10:I10" si="3">F8-F9</f>
        <v>133500</v>
      </c>
      <c r="G10" s="19">
        <f t="shared" si="3"/>
        <v>178750</v>
      </c>
      <c r="H10" s="19">
        <f t="shared" si="3"/>
        <v>143875</v>
      </c>
      <c r="I10" s="19">
        <f t="shared" si="3"/>
        <v>224587.5</v>
      </c>
      <c r="L10" s="99" t="s">
        <v>25</v>
      </c>
      <c r="M10" s="99">
        <v>0.3</v>
      </c>
      <c r="N10" s="99" t="s">
        <v>26</v>
      </c>
    </row>
    <row r="11" spans="3:14">
      <c r="C11" s="19" t="s">
        <v>13</v>
      </c>
      <c r="D11" s="31" t="s">
        <v>27</v>
      </c>
      <c r="F11" s="19">
        <f t="shared" ref="F11:I11" si="4">F10*$M$3</f>
        <v>40050</v>
      </c>
      <c r="G11" s="19">
        <f t="shared" si="4"/>
        <v>53625</v>
      </c>
      <c r="H11" s="19">
        <f t="shared" si="4"/>
        <v>43162.5</v>
      </c>
      <c r="I11" s="19">
        <f t="shared" si="4"/>
        <v>67376.25</v>
      </c>
      <c r="L11" s="99" t="s">
        <v>28</v>
      </c>
      <c r="M11" s="99">
        <v>0.1</v>
      </c>
      <c r="N11" s="99" t="s">
        <v>26</v>
      </c>
    </row>
    <row r="12" spans="3:14">
      <c r="C12" s="85"/>
      <c r="D12" s="86" t="s">
        <v>29</v>
      </c>
      <c r="F12" s="19">
        <f t="shared" ref="F12:I12" si="5">F10-F11</f>
        <v>93450</v>
      </c>
      <c r="G12" s="19">
        <f t="shared" si="5"/>
        <v>125125</v>
      </c>
      <c r="H12" s="19">
        <f t="shared" si="5"/>
        <v>100712.5</v>
      </c>
      <c r="I12" s="19">
        <f t="shared" si="5"/>
        <v>157211.25</v>
      </c>
      <c r="L12" s="99" t="s">
        <v>30</v>
      </c>
      <c r="M12" s="99">
        <f>200/350</f>
        <v>0.571428571428571</v>
      </c>
      <c r="N12" s="99"/>
    </row>
    <row r="13" spans="3:14">
      <c r="C13" s="85" t="s">
        <v>31</v>
      </c>
      <c r="D13" s="87" t="s">
        <v>22</v>
      </c>
      <c r="F13" s="19">
        <f t="shared" ref="F13:I13" si="6">F9</f>
        <v>37500</v>
      </c>
      <c r="G13" s="19">
        <f t="shared" si="6"/>
        <v>41250</v>
      </c>
      <c r="H13" s="19">
        <f t="shared" si="6"/>
        <v>47125</v>
      </c>
      <c r="I13" s="19">
        <f t="shared" si="6"/>
        <v>57412.5</v>
      </c>
      <c r="L13" s="99" t="s">
        <v>32</v>
      </c>
      <c r="M13" s="99" t="s">
        <v>33</v>
      </c>
      <c r="N13" s="99"/>
    </row>
    <row r="14" spans="3:14">
      <c r="C14" s="85" t="s">
        <v>13</v>
      </c>
      <c r="D14" s="87" t="s">
        <v>34</v>
      </c>
      <c r="F14" s="19">
        <f t="shared" ref="F14:I14" si="7">M20</f>
        <v>50000</v>
      </c>
      <c r="G14" s="19">
        <f t="shared" si="7"/>
        <v>75000</v>
      </c>
      <c r="H14" s="19">
        <f t="shared" si="7"/>
        <v>100000</v>
      </c>
      <c r="I14" s="19">
        <f t="shared" si="7"/>
        <v>150000</v>
      </c>
      <c r="L14" s="99" t="s">
        <v>35</v>
      </c>
      <c r="M14" s="99">
        <f>M6*M4</f>
        <v>0.084</v>
      </c>
      <c r="N14" s="99"/>
    </row>
    <row r="15" spans="3:9">
      <c r="C15" s="85" t="s">
        <v>13</v>
      </c>
      <c r="D15" s="87" t="s">
        <v>36</v>
      </c>
      <c r="F15" s="19">
        <f t="shared" ref="F15:I15" si="8">N31</f>
        <v>3000</v>
      </c>
      <c r="G15" s="19">
        <f t="shared" si="8"/>
        <v>7000</v>
      </c>
      <c r="H15" s="19">
        <f t="shared" si="8"/>
        <v>-2000</v>
      </c>
      <c r="I15" s="19">
        <f t="shared" si="8"/>
        <v>13000</v>
      </c>
    </row>
    <row r="16" spans="3:12">
      <c r="C16" s="85"/>
      <c r="D16" s="88" t="s">
        <v>37</v>
      </c>
      <c r="F16" s="92">
        <f t="shared" ref="F16:I16" si="9">F12+F13-F14-F15</f>
        <v>77950</v>
      </c>
      <c r="G16" s="92">
        <f t="shared" si="9"/>
        <v>84375</v>
      </c>
      <c r="H16" s="92">
        <f t="shared" si="9"/>
        <v>49837.5</v>
      </c>
      <c r="I16" s="92">
        <f t="shared" si="9"/>
        <v>51623.75</v>
      </c>
      <c r="L16" s="19" t="s">
        <v>38</v>
      </c>
    </row>
    <row r="17" spans="2:12">
      <c r="B17" s="18"/>
      <c r="D17" s="19" t="s">
        <v>39</v>
      </c>
      <c r="E17" s="18"/>
      <c r="F17" s="93">
        <f t="shared" ref="F17:I17" si="10">F16/(1+$M$8)^F3</f>
        <v>67782.6086956522</v>
      </c>
      <c r="G17" s="93">
        <f t="shared" si="10"/>
        <v>63799.6219281664</v>
      </c>
      <c r="H17" s="93">
        <f t="shared" si="10"/>
        <v>32768.9652338292</v>
      </c>
      <c r="I17" s="93">
        <f t="shared" si="10"/>
        <v>29516.0466121834</v>
      </c>
      <c r="L17" s="18" t="s">
        <v>40</v>
      </c>
    </row>
    <row r="18" spans="4:16">
      <c r="D18" s="18" t="s">
        <v>41</v>
      </c>
      <c r="E18" s="92">
        <f>SUM(F17:I17)</f>
        <v>193867.242469831</v>
      </c>
      <c r="L18" s="18" t="s">
        <v>6</v>
      </c>
      <c r="M18" s="18">
        <v>2024</v>
      </c>
      <c r="N18" s="18">
        <v>2025</v>
      </c>
      <c r="O18" s="18">
        <v>2026</v>
      </c>
      <c r="P18" s="18">
        <v>2027</v>
      </c>
    </row>
    <row r="19" spans="4:16">
      <c r="D19" s="18"/>
      <c r="L19" s="19" t="s">
        <v>42</v>
      </c>
      <c r="M19" s="19">
        <v>325000</v>
      </c>
      <c r="N19" s="19">
        <f t="shared" ref="N19:P19" si="11">M23</f>
        <v>337500</v>
      </c>
      <c r="O19" s="19">
        <f t="shared" si="11"/>
        <v>371250</v>
      </c>
      <c r="P19" s="19">
        <f t="shared" si="11"/>
        <v>424125</v>
      </c>
    </row>
    <row r="20" spans="4:16">
      <c r="D20" s="18" t="s">
        <v>43</v>
      </c>
      <c r="K20" s="100" t="s">
        <v>31</v>
      </c>
      <c r="L20" s="19" t="s">
        <v>44</v>
      </c>
      <c r="M20" s="19">
        <v>50000</v>
      </c>
      <c r="N20" s="19">
        <v>75000</v>
      </c>
      <c r="O20" s="19">
        <v>100000</v>
      </c>
      <c r="P20" s="19">
        <v>150000</v>
      </c>
    </row>
    <row r="21" spans="2:16">
      <c r="B21" s="18"/>
      <c r="C21" s="18"/>
      <c r="D21" s="18" t="s">
        <v>45</v>
      </c>
      <c r="J21" s="19">
        <f>I16*(1+M9)</f>
        <v>54204.9375</v>
      </c>
      <c r="L21" s="84" t="s">
        <v>46</v>
      </c>
      <c r="M21" s="19">
        <f t="shared" ref="M21:P21" si="12">M19+M20</f>
        <v>375000</v>
      </c>
      <c r="N21" s="19">
        <f t="shared" si="12"/>
        <v>412500</v>
      </c>
      <c r="O21" s="19">
        <f t="shared" si="12"/>
        <v>471250</v>
      </c>
      <c r="P21" s="19">
        <f t="shared" si="12"/>
        <v>574125</v>
      </c>
    </row>
    <row r="22" spans="4:16">
      <c r="D22" s="18" t="s">
        <v>47</v>
      </c>
      <c r="E22" s="18"/>
      <c r="I22" s="19">
        <f>J21/(M8-M9)</f>
        <v>542049.375</v>
      </c>
      <c r="K22" s="100" t="s">
        <v>13</v>
      </c>
      <c r="L22" s="101" t="s">
        <v>48</v>
      </c>
      <c r="M22" s="19">
        <f t="shared" ref="M22:P22" si="13">M21*$M$5</f>
        <v>37500</v>
      </c>
      <c r="N22" s="19">
        <f t="shared" si="13"/>
        <v>41250</v>
      </c>
      <c r="O22" s="19">
        <f t="shared" si="13"/>
        <v>47125</v>
      </c>
      <c r="P22" s="19">
        <f t="shared" si="13"/>
        <v>57412.5</v>
      </c>
    </row>
    <row r="23" spans="4:16">
      <c r="D23" s="18" t="s">
        <v>49</v>
      </c>
      <c r="E23" s="92">
        <f>I22/(1+M8)^I3</f>
        <v>309918.489427925</v>
      </c>
      <c r="K23" s="84"/>
      <c r="L23" s="84" t="s">
        <v>50</v>
      </c>
      <c r="M23" s="19">
        <f t="shared" ref="M23:P23" si="14">M21-M22</f>
        <v>337500</v>
      </c>
      <c r="N23" s="19">
        <f t="shared" si="14"/>
        <v>371250</v>
      </c>
      <c r="O23" s="19">
        <f t="shared" si="14"/>
        <v>424125</v>
      </c>
      <c r="P23" s="19">
        <f t="shared" si="14"/>
        <v>516712.5</v>
      </c>
    </row>
    <row r="24" spans="5:16">
      <c r="E24" s="18"/>
      <c r="K24" s="102"/>
      <c r="L24" s="18"/>
      <c r="M24" s="105"/>
      <c r="N24" s="105"/>
      <c r="O24" s="105"/>
      <c r="P24" s="105"/>
    </row>
    <row r="25" spans="4:12">
      <c r="D25" s="18" t="s">
        <v>51</v>
      </c>
      <c r="E25" s="92">
        <f>E23+E18</f>
        <v>503785.731897756</v>
      </c>
      <c r="K25" s="21"/>
      <c r="L25" s="19" t="s">
        <v>52</v>
      </c>
    </row>
    <row r="26" spans="4:17">
      <c r="D26" s="18" t="s">
        <v>53</v>
      </c>
      <c r="E26" s="93">
        <v>800000</v>
      </c>
      <c r="K26" s="18"/>
      <c r="L26" s="18" t="s">
        <v>54</v>
      </c>
      <c r="M26" s="18">
        <v>2023</v>
      </c>
      <c r="N26" s="18">
        <v>2024</v>
      </c>
      <c r="O26" s="18">
        <v>2025</v>
      </c>
      <c r="P26" s="18">
        <v>2026</v>
      </c>
      <c r="Q26" s="18">
        <v>2027</v>
      </c>
    </row>
    <row r="27" spans="4:17">
      <c r="D27" s="18" t="s">
        <v>55</v>
      </c>
      <c r="E27" s="93">
        <f>E26-E25</f>
        <v>296214.268102244</v>
      </c>
      <c r="G27" s="18"/>
      <c r="H27" s="94"/>
      <c r="K27" s="18"/>
      <c r="L27" s="18" t="s">
        <v>6</v>
      </c>
      <c r="M27" s="18">
        <v>0</v>
      </c>
      <c r="N27" s="18">
        <v>1</v>
      </c>
      <c r="O27" s="18">
        <v>2</v>
      </c>
      <c r="P27" s="18">
        <v>3</v>
      </c>
      <c r="Q27" s="18">
        <v>4</v>
      </c>
    </row>
    <row r="28" spans="1:8">
      <c r="A28" s="18"/>
      <c r="B28" s="18"/>
      <c r="D28" s="18"/>
      <c r="E28" s="18"/>
      <c r="G28" s="18"/>
      <c r="H28" s="94"/>
    </row>
    <row r="29" spans="12:17">
      <c r="L29" s="18" t="s">
        <v>56</v>
      </c>
      <c r="M29" s="19">
        <v>25000</v>
      </c>
      <c r="N29" s="19">
        <f t="shared" ref="N29:Q29" si="15">F5*$M$11</f>
        <v>28000</v>
      </c>
      <c r="O29" s="19">
        <f t="shared" si="15"/>
        <v>35000</v>
      </c>
      <c r="P29" s="19">
        <f t="shared" si="15"/>
        <v>33000</v>
      </c>
      <c r="Q29" s="19">
        <f t="shared" si="15"/>
        <v>46000</v>
      </c>
    </row>
    <row r="30" spans="1:8">
      <c r="A30" s="18" t="s">
        <v>0</v>
      </c>
      <c r="B30" s="18" t="s">
        <v>1</v>
      </c>
      <c r="D30" s="18" t="s">
        <v>2</v>
      </c>
      <c r="G30" s="18" t="s">
        <v>57</v>
      </c>
      <c r="H30" s="19" t="s">
        <v>58</v>
      </c>
    </row>
    <row r="31" spans="2:17">
      <c r="B31" s="18"/>
      <c r="C31" s="18"/>
      <c r="F31" s="91" t="s">
        <v>4</v>
      </c>
      <c r="G31" s="91"/>
      <c r="H31" s="91"/>
      <c r="I31" s="91"/>
      <c r="J31" s="91"/>
      <c r="L31" s="18" t="s">
        <v>59</v>
      </c>
      <c r="N31" s="19">
        <f t="shared" ref="N31:Q31" si="16">N29-M29</f>
        <v>3000</v>
      </c>
      <c r="O31" s="19">
        <f t="shared" si="16"/>
        <v>7000</v>
      </c>
      <c r="P31" s="19">
        <f t="shared" si="16"/>
        <v>-2000</v>
      </c>
      <c r="Q31" s="19">
        <f t="shared" si="16"/>
        <v>13000</v>
      </c>
    </row>
    <row r="32" spans="3:10">
      <c r="C32" s="18"/>
      <c r="D32" s="18" t="s">
        <v>6</v>
      </c>
      <c r="E32" s="18">
        <v>0</v>
      </c>
      <c r="F32" s="18">
        <v>1</v>
      </c>
      <c r="G32" s="18">
        <v>2</v>
      </c>
      <c r="H32" s="18">
        <v>3</v>
      </c>
      <c r="I32" s="18">
        <v>4</v>
      </c>
      <c r="J32" s="18">
        <v>5</v>
      </c>
    </row>
    <row r="33" spans="4:12">
      <c r="D33" s="18" t="s">
        <v>8</v>
      </c>
      <c r="E33" s="18">
        <v>2023</v>
      </c>
      <c r="F33" s="18">
        <v>2024</v>
      </c>
      <c r="G33" s="18">
        <v>2025</v>
      </c>
      <c r="H33" s="18">
        <v>2026</v>
      </c>
      <c r="I33" s="18">
        <v>2027</v>
      </c>
      <c r="J33" s="18">
        <v>2028</v>
      </c>
      <c r="K33" s="18"/>
      <c r="L33" s="18" t="s">
        <v>60</v>
      </c>
    </row>
    <row r="34" spans="4:16">
      <c r="D34" s="18" t="s">
        <v>10</v>
      </c>
      <c r="F34" s="19">
        <v>280000</v>
      </c>
      <c r="G34" s="19">
        <v>350000</v>
      </c>
      <c r="H34" s="19">
        <v>330000</v>
      </c>
      <c r="I34" s="19">
        <v>460000</v>
      </c>
      <c r="L34" s="18" t="s">
        <v>61</v>
      </c>
      <c r="M34" s="18">
        <v>1</v>
      </c>
      <c r="N34" s="18">
        <v>2</v>
      </c>
      <c r="O34" s="18">
        <v>3</v>
      </c>
      <c r="P34" s="18">
        <v>4</v>
      </c>
    </row>
    <row r="35" spans="3:16">
      <c r="C35" s="19" t="s">
        <v>13</v>
      </c>
      <c r="D35" s="19" t="s">
        <v>14</v>
      </c>
      <c r="E35" s="18"/>
      <c r="F35" s="19">
        <f t="shared" ref="F35:I35" si="17">F34*$M$10</f>
        <v>84000</v>
      </c>
      <c r="G35" s="19">
        <f t="shared" si="17"/>
        <v>105000</v>
      </c>
      <c r="H35" s="19">
        <f t="shared" si="17"/>
        <v>99000</v>
      </c>
      <c r="I35" s="19">
        <f t="shared" si="17"/>
        <v>138000</v>
      </c>
      <c r="L35" s="19" t="s">
        <v>6</v>
      </c>
      <c r="M35" s="19">
        <v>2024</v>
      </c>
      <c r="N35" s="19">
        <v>2025</v>
      </c>
      <c r="O35" s="19">
        <v>2026</v>
      </c>
      <c r="P35" s="19">
        <v>2027</v>
      </c>
    </row>
    <row r="36" spans="2:16">
      <c r="B36" s="18"/>
      <c r="C36" s="19" t="s">
        <v>13</v>
      </c>
      <c r="D36" s="84" t="s">
        <v>17</v>
      </c>
      <c r="F36" s="19">
        <v>25000</v>
      </c>
      <c r="G36" s="19">
        <v>25000</v>
      </c>
      <c r="H36" s="19">
        <v>40000</v>
      </c>
      <c r="I36" s="19">
        <v>40000</v>
      </c>
      <c r="K36" s="103"/>
      <c r="L36" s="19" t="s">
        <v>62</v>
      </c>
      <c r="M36" s="19">
        <v>150000</v>
      </c>
      <c r="N36" s="19">
        <f t="shared" ref="N36:P36" si="18">M39</f>
        <v>135000</v>
      </c>
      <c r="O36" s="19">
        <f t="shared" si="18"/>
        <v>121500</v>
      </c>
      <c r="P36" s="19">
        <f t="shared" si="18"/>
        <v>109350</v>
      </c>
    </row>
    <row r="37" spans="4:16">
      <c r="D37" s="84" t="s">
        <v>19</v>
      </c>
      <c r="F37" s="18">
        <f t="shared" ref="F37:I37" si="19">F34-F35-F36</f>
        <v>171000</v>
      </c>
      <c r="G37" s="18">
        <f t="shared" si="19"/>
        <v>220000</v>
      </c>
      <c r="H37" s="18">
        <f t="shared" si="19"/>
        <v>191000</v>
      </c>
      <c r="I37" s="18">
        <f t="shared" si="19"/>
        <v>282000</v>
      </c>
      <c r="K37" s="18"/>
      <c r="L37" s="84" t="s">
        <v>63</v>
      </c>
      <c r="M37" s="19">
        <f t="shared" ref="M37:P37" si="20">M36*$M$6</f>
        <v>18000</v>
      </c>
      <c r="N37" s="19">
        <f t="shared" si="20"/>
        <v>16200</v>
      </c>
      <c r="O37" s="19">
        <f t="shared" si="20"/>
        <v>14580</v>
      </c>
      <c r="P37" s="19">
        <f t="shared" si="20"/>
        <v>13122</v>
      </c>
    </row>
    <row r="38" spans="2:16">
      <c r="B38" s="18"/>
      <c r="C38" s="18" t="s">
        <v>13</v>
      </c>
      <c r="D38" s="18" t="s">
        <v>22</v>
      </c>
      <c r="E38" s="18"/>
      <c r="F38" s="18">
        <f t="shared" ref="F38:I38" si="21">M22</f>
        <v>37500</v>
      </c>
      <c r="G38" s="18">
        <f t="shared" si="21"/>
        <v>41250</v>
      </c>
      <c r="H38" s="18">
        <f t="shared" si="21"/>
        <v>47125</v>
      </c>
      <c r="I38" s="18">
        <f t="shared" si="21"/>
        <v>57412.5</v>
      </c>
      <c r="J38" s="18"/>
      <c r="K38" s="84"/>
      <c r="L38" s="84" t="s">
        <v>64</v>
      </c>
      <c r="M38" s="19">
        <f t="shared" ref="M38:P38" si="22">M36*0.1</f>
        <v>15000</v>
      </c>
      <c r="N38" s="19">
        <f t="shared" si="22"/>
        <v>13500</v>
      </c>
      <c r="O38" s="19">
        <f t="shared" si="22"/>
        <v>12150</v>
      </c>
      <c r="P38" s="19">
        <f t="shared" si="22"/>
        <v>10935</v>
      </c>
    </row>
    <row r="39" spans="4:16">
      <c r="D39" s="84" t="s">
        <v>24</v>
      </c>
      <c r="F39" s="19">
        <f t="shared" ref="F39:I39" si="23">F37-F38</f>
        <v>133500</v>
      </c>
      <c r="G39" s="19">
        <f t="shared" si="23"/>
        <v>178750</v>
      </c>
      <c r="H39" s="19">
        <f t="shared" si="23"/>
        <v>143875</v>
      </c>
      <c r="I39" s="19">
        <f t="shared" si="23"/>
        <v>224587.5</v>
      </c>
      <c r="K39" s="19" t="s">
        <v>65</v>
      </c>
      <c r="L39" s="18" t="s">
        <v>66</v>
      </c>
      <c r="M39" s="19">
        <f t="shared" ref="M39:P39" si="24">M36-M38</f>
        <v>135000</v>
      </c>
      <c r="N39" s="19">
        <f t="shared" si="24"/>
        <v>121500</v>
      </c>
      <c r="O39" s="19">
        <f t="shared" si="24"/>
        <v>109350</v>
      </c>
      <c r="P39" s="19">
        <f t="shared" si="24"/>
        <v>98415</v>
      </c>
    </row>
    <row r="40" spans="3:11">
      <c r="C40" s="19" t="s">
        <v>13</v>
      </c>
      <c r="D40" s="84" t="s">
        <v>67</v>
      </c>
      <c r="E40" s="18"/>
      <c r="F40" s="95">
        <f t="shared" ref="F40:I40" si="25">M37</f>
        <v>18000</v>
      </c>
      <c r="G40" s="18">
        <f t="shared" si="25"/>
        <v>16200</v>
      </c>
      <c r="H40" s="18">
        <f t="shared" si="25"/>
        <v>14580</v>
      </c>
      <c r="I40" s="18">
        <f t="shared" si="25"/>
        <v>13122</v>
      </c>
      <c r="J40" s="18"/>
      <c r="K40" s="18" t="s">
        <v>68</v>
      </c>
    </row>
    <row r="41" spans="4:12">
      <c r="D41" s="84" t="s">
        <v>69</v>
      </c>
      <c r="E41" s="18"/>
      <c r="F41" s="18">
        <f t="shared" ref="F41:I41" si="26">F39-F40</f>
        <v>115500</v>
      </c>
      <c r="G41" s="18">
        <f t="shared" si="26"/>
        <v>162550</v>
      </c>
      <c r="H41" s="18">
        <f t="shared" si="26"/>
        <v>129295</v>
      </c>
      <c r="I41" s="18">
        <f t="shared" si="26"/>
        <v>211465.5</v>
      </c>
      <c r="J41" s="18"/>
      <c r="K41" s="18" t="s">
        <v>70</v>
      </c>
      <c r="L41" s="18" t="s">
        <v>71</v>
      </c>
    </row>
    <row r="42" spans="3:12">
      <c r="C42" s="19" t="s">
        <v>13</v>
      </c>
      <c r="D42" s="31" t="s">
        <v>27</v>
      </c>
      <c r="E42" s="18"/>
      <c r="F42" s="95">
        <f t="shared" ref="F42:I42" si="27">F41*$M$3</f>
        <v>34650</v>
      </c>
      <c r="G42" s="18">
        <f t="shared" si="27"/>
        <v>48765</v>
      </c>
      <c r="H42" s="18">
        <f t="shared" si="27"/>
        <v>38788.5</v>
      </c>
      <c r="I42" s="18">
        <f t="shared" si="27"/>
        <v>63439.65</v>
      </c>
      <c r="J42" s="18"/>
      <c r="K42" s="18" t="s">
        <v>72</v>
      </c>
      <c r="L42" s="18" t="s">
        <v>73</v>
      </c>
    </row>
    <row r="43" spans="3:11">
      <c r="C43" s="85"/>
      <c r="D43" s="85" t="s">
        <v>74</v>
      </c>
      <c r="E43" s="18"/>
      <c r="F43" s="18">
        <f t="shared" ref="F43:I43" si="28">F41-F42</f>
        <v>80850</v>
      </c>
      <c r="G43" s="18">
        <f t="shared" si="28"/>
        <v>113785</v>
      </c>
      <c r="H43" s="18">
        <f t="shared" si="28"/>
        <v>90506.5</v>
      </c>
      <c r="I43" s="18">
        <f t="shared" si="28"/>
        <v>148025.85</v>
      </c>
      <c r="J43" s="18"/>
      <c r="K43" s="18" t="s">
        <v>75</v>
      </c>
    </row>
    <row r="44" spans="3:13">
      <c r="C44" s="85" t="s">
        <v>31</v>
      </c>
      <c r="D44" s="85" t="s">
        <v>22</v>
      </c>
      <c r="E44" s="18"/>
      <c r="F44" s="18">
        <f t="shared" ref="F44:I44" si="29">F38</f>
        <v>37500</v>
      </c>
      <c r="G44" s="18">
        <f t="shared" si="29"/>
        <v>41250</v>
      </c>
      <c r="H44" s="18">
        <f t="shared" si="29"/>
        <v>47125</v>
      </c>
      <c r="I44" s="18">
        <f t="shared" si="29"/>
        <v>57412.5</v>
      </c>
      <c r="J44" s="18"/>
      <c r="K44" s="104" t="s">
        <v>76</v>
      </c>
      <c r="L44" s="18" t="s">
        <v>77</v>
      </c>
      <c r="M44" s="19" t="s">
        <v>78</v>
      </c>
    </row>
    <row r="45" spans="3:13">
      <c r="C45" s="85" t="s">
        <v>13</v>
      </c>
      <c r="D45" s="85" t="s">
        <v>34</v>
      </c>
      <c r="E45" s="18"/>
      <c r="F45" s="18">
        <f t="shared" ref="F45:I45" si="30">M20</f>
        <v>50000</v>
      </c>
      <c r="G45" s="18">
        <f t="shared" si="30"/>
        <v>75000</v>
      </c>
      <c r="H45" s="18">
        <f t="shared" si="30"/>
        <v>100000</v>
      </c>
      <c r="I45" s="18">
        <f t="shared" si="30"/>
        <v>150000</v>
      </c>
      <c r="J45" s="18"/>
      <c r="K45" s="104">
        <f>0.12*(1-0.3)</f>
        <v>0.084</v>
      </c>
      <c r="L45" s="18" t="s">
        <v>77</v>
      </c>
      <c r="M45" s="19" t="s">
        <v>79</v>
      </c>
    </row>
    <row r="46" spans="3:13">
      <c r="C46" s="85" t="s">
        <v>13</v>
      </c>
      <c r="D46" s="85" t="s">
        <v>36</v>
      </c>
      <c r="E46" s="18"/>
      <c r="F46" s="18">
        <f t="shared" ref="F46:I46" si="31">N31</f>
        <v>3000</v>
      </c>
      <c r="G46" s="18">
        <f t="shared" si="31"/>
        <v>7000</v>
      </c>
      <c r="H46" s="18">
        <f t="shared" si="31"/>
        <v>-2000</v>
      </c>
      <c r="I46" s="18">
        <f t="shared" si="31"/>
        <v>13000</v>
      </c>
      <c r="J46" s="18"/>
      <c r="K46" s="18"/>
      <c r="L46" s="95" t="s">
        <v>77</v>
      </c>
      <c r="M46" s="16" t="s">
        <v>80</v>
      </c>
    </row>
    <row r="47" spans="3:12">
      <c r="C47" s="85" t="s">
        <v>13</v>
      </c>
      <c r="D47" s="85" t="s">
        <v>81</v>
      </c>
      <c r="F47" s="19">
        <f t="shared" ref="F47:I47" si="32">M38</f>
        <v>15000</v>
      </c>
      <c r="G47" s="19">
        <f t="shared" si="32"/>
        <v>13500</v>
      </c>
      <c r="H47" s="19">
        <f t="shared" si="32"/>
        <v>12150</v>
      </c>
      <c r="I47" s="19">
        <f t="shared" si="32"/>
        <v>10935</v>
      </c>
      <c r="L47" s="18"/>
    </row>
    <row r="48" spans="3:13">
      <c r="C48" s="87"/>
      <c r="D48" s="88" t="s">
        <v>82</v>
      </c>
      <c r="E48" s="18"/>
      <c r="F48" s="18">
        <f t="shared" ref="F48:I48" si="33">F43+F44-F45-F46-F47</f>
        <v>50350</v>
      </c>
      <c r="G48" s="18">
        <f t="shared" si="33"/>
        <v>59535</v>
      </c>
      <c r="H48" s="18">
        <f t="shared" si="33"/>
        <v>27481.5</v>
      </c>
      <c r="I48" s="18">
        <f t="shared" si="33"/>
        <v>31503.35</v>
      </c>
      <c r="J48" s="18"/>
      <c r="L48" s="19" t="s">
        <v>32</v>
      </c>
      <c r="M48" s="19" t="s">
        <v>83</v>
      </c>
    </row>
    <row r="49" spans="4:13">
      <c r="D49" s="18" t="s">
        <v>84</v>
      </c>
      <c r="E49" s="18"/>
      <c r="F49" s="93">
        <f t="shared" ref="F49:I49" si="34">F48/(1+$M$49)^F32</f>
        <v>41975.8232596915</v>
      </c>
      <c r="G49" s="93">
        <f t="shared" si="34"/>
        <v>41378.2246701722</v>
      </c>
      <c r="H49" s="93">
        <f t="shared" si="34"/>
        <v>15923.5419684343</v>
      </c>
      <c r="I49" s="93">
        <f t="shared" si="34"/>
        <v>15217.935147695</v>
      </c>
      <c r="L49" s="85" t="s">
        <v>32</v>
      </c>
      <c r="M49" s="106">
        <f>(M8-M14*M7)/M12</f>
        <v>0.1995</v>
      </c>
    </row>
    <row r="50" spans="4:14">
      <c r="D50" s="89" t="s">
        <v>41</v>
      </c>
      <c r="E50" s="92">
        <f>SUM(F49:I49)</f>
        <v>114495.525045993</v>
      </c>
      <c r="N50" s="94"/>
    </row>
    <row r="51" spans="13:13">
      <c r="M51" s="105"/>
    </row>
    <row r="52" spans="4:13">
      <c r="D52" s="19" t="s">
        <v>85</v>
      </c>
      <c r="M52" s="105"/>
    </row>
    <row r="53" spans="4:13">
      <c r="D53" s="33" t="s">
        <v>86</v>
      </c>
      <c r="J53" s="93">
        <f>I48*(1+M9)</f>
        <v>33078.5175</v>
      </c>
      <c r="M53" s="105"/>
    </row>
    <row r="54" spans="3:14">
      <c r="C54" s="18"/>
      <c r="D54" s="33" t="s">
        <v>87</v>
      </c>
      <c r="E54" s="18"/>
      <c r="F54" s="18"/>
      <c r="G54" s="18"/>
      <c r="H54" s="18"/>
      <c r="I54" s="92">
        <f>J53/(M49-M9)</f>
        <v>221260.986622074</v>
      </c>
      <c r="M54" s="107"/>
      <c r="N54" s="108"/>
    </row>
    <row r="55" spans="3:13">
      <c r="C55" s="18"/>
      <c r="D55" s="18" t="s">
        <v>88</v>
      </c>
      <c r="E55" s="92">
        <f>I54/(1+M49)^I32</f>
        <v>106881.818763075</v>
      </c>
      <c r="F55" s="96"/>
      <c r="G55" s="96"/>
      <c r="H55" s="96"/>
      <c r="I55" s="96"/>
      <c r="L55" s="18"/>
      <c r="M55" s="105"/>
    </row>
    <row r="56" spans="3:13">
      <c r="C56" s="18"/>
      <c r="D56" s="18"/>
      <c r="E56" s="97"/>
      <c r="F56" s="97"/>
      <c r="G56" s="97"/>
      <c r="H56" s="97"/>
      <c r="I56" s="97"/>
      <c r="J56" s="18"/>
      <c r="M56" s="105"/>
    </row>
    <row r="57" spans="3:5">
      <c r="C57" s="18"/>
      <c r="D57" s="18" t="s">
        <v>89</v>
      </c>
      <c r="E57" s="92">
        <f>E55+E50</f>
        <v>221377.343809068</v>
      </c>
    </row>
    <row r="58" spans="3:10">
      <c r="C58" s="18" t="s">
        <v>90</v>
      </c>
      <c r="D58" s="18" t="s">
        <v>91</v>
      </c>
      <c r="E58" s="98">
        <f>200000/100</f>
        <v>2000</v>
      </c>
      <c r="F58" s="96"/>
      <c r="G58" s="96"/>
      <c r="H58" s="96"/>
      <c r="I58" s="96"/>
      <c r="J58" s="96"/>
    </row>
    <row r="59" spans="3:13">
      <c r="C59" s="18"/>
      <c r="D59" s="90" t="s">
        <v>92</v>
      </c>
      <c r="E59" s="92">
        <f>E57/E58</f>
        <v>110.688671904534</v>
      </c>
      <c r="F59" s="96"/>
      <c r="G59" s="96"/>
      <c r="H59" s="96"/>
      <c r="I59" s="96"/>
      <c r="J59" s="96"/>
      <c r="K59" s="96"/>
      <c r="M59" s="84"/>
    </row>
    <row r="60" spans="4:5">
      <c r="D60" s="18" t="s">
        <v>93</v>
      </c>
      <c r="E60" s="18">
        <v>100</v>
      </c>
    </row>
    <row r="61" spans="3:13">
      <c r="C61" s="18"/>
      <c r="D61" s="18" t="s">
        <v>94</v>
      </c>
      <c r="E61" s="97">
        <v>150</v>
      </c>
      <c r="L61" s="84"/>
      <c r="M61" s="109"/>
    </row>
    <row r="62" ht="28" spans="4:5">
      <c r="D62" s="90" t="s">
        <v>95</v>
      </c>
      <c r="E62" s="19">
        <f>200000/2000</f>
        <v>100</v>
      </c>
    </row>
    <row r="63" spans="3:5">
      <c r="C63" s="18"/>
      <c r="D63" s="18"/>
      <c r="E63" s="96"/>
    </row>
    <row r="64" spans="4:10">
      <c r="D64" s="18"/>
      <c r="I64" s="96"/>
      <c r="J64" s="96"/>
    </row>
    <row r="65" spans="3:10">
      <c r="C65" s="18"/>
      <c r="D65" s="18"/>
      <c r="E65" s="96"/>
      <c r="I65" s="96"/>
      <c r="J65" s="96"/>
    </row>
    <row r="66" spans="4:5">
      <c r="D66" s="18"/>
      <c r="E66" s="18"/>
    </row>
    <row r="67" spans="3:5">
      <c r="C67" s="18"/>
      <c r="D67" s="18"/>
      <c r="E67" s="96"/>
    </row>
    <row r="68" spans="4:5">
      <c r="D68" s="18"/>
      <c r="E68" s="97"/>
    </row>
    <row r="69" spans="4:4">
      <c r="D69" s="18"/>
    </row>
    <row r="70" spans="4:5">
      <c r="D70" s="18"/>
      <c r="E70" s="96"/>
    </row>
    <row r="71" spans="4:4">
      <c r="D71" s="18"/>
    </row>
    <row r="72" spans="4:4">
      <c r="D72" s="18"/>
    </row>
    <row r="73" spans="4:4">
      <c r="D73" s="18"/>
    </row>
  </sheetData>
  <mergeCells count="2">
    <mergeCell ref="F2:I2"/>
    <mergeCell ref="F31:I31"/>
  </mergeCells>
  <hyperlinks>
    <hyperlink ref="L22" r:id="rId1" display="Depreciation@10%"/>
    <hyperlink ref="D11" r:id="rId2" display="Tax@30%"/>
    <hyperlink ref="D42" r:id="rId2" display="Tax@30%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L60"/>
  <sheetViews>
    <sheetView zoomScale="130" zoomScaleNormal="130" topLeftCell="A15" workbookViewId="0">
      <selection activeCell="B37" sqref="B37"/>
    </sheetView>
  </sheetViews>
  <sheetFormatPr defaultColWidth="9" defaultRowHeight="14"/>
  <cols>
    <col min="1" max="1" width="43.359375" customWidth="1"/>
    <col min="2" max="2" width="28.5" customWidth="1"/>
    <col min="3" max="3" width="26.25" customWidth="1"/>
    <col min="4" max="4" width="23.53125" customWidth="1"/>
    <col min="5" max="5" width="26.625" customWidth="1"/>
    <col min="6" max="6" width="23.9375" customWidth="1"/>
    <col min="7" max="7" width="28.4296875" customWidth="1"/>
    <col min="8" max="8" width="10.5"/>
  </cols>
  <sheetData>
    <row r="1" spans="1:12">
      <c r="A1" s="17"/>
      <c r="B1" s="2"/>
      <c r="C1" s="18" t="s">
        <v>96</v>
      </c>
      <c r="D1" s="19">
        <f>AVERAGE(B21:D21)</f>
        <v>2.75</v>
      </c>
      <c r="E1" s="19"/>
      <c r="F1" s="69"/>
      <c r="G1" s="21"/>
      <c r="H1" s="21"/>
      <c r="I1" s="19"/>
      <c r="J1" s="2"/>
      <c r="K1" s="2"/>
      <c r="L1" s="2"/>
    </row>
    <row r="2" ht="14.75" spans="1:12">
      <c r="A2" s="20" t="s">
        <v>97</v>
      </c>
      <c r="B2" s="2"/>
      <c r="C2" s="3" t="s">
        <v>98</v>
      </c>
      <c r="D2" s="21">
        <f>D12</f>
        <v>29.8155</v>
      </c>
      <c r="E2" s="70"/>
      <c r="F2" s="21"/>
      <c r="G2" s="71"/>
      <c r="H2" s="21"/>
      <c r="I2" s="19"/>
      <c r="J2" s="2"/>
      <c r="K2" s="2"/>
      <c r="L2" s="2"/>
    </row>
    <row r="3" ht="18.75" spans="1:12">
      <c r="A3" s="22" t="s">
        <v>99</v>
      </c>
      <c r="B3" s="23" t="s">
        <v>100</v>
      </c>
      <c r="C3" s="3" t="s">
        <v>101</v>
      </c>
      <c r="D3" s="24">
        <f>D1*D2</f>
        <v>81.992625</v>
      </c>
      <c r="E3" s="18"/>
      <c r="F3" s="72"/>
      <c r="G3" s="21"/>
      <c r="H3" s="21"/>
      <c r="I3" s="19"/>
      <c r="J3" s="2"/>
      <c r="K3" s="2"/>
      <c r="L3" s="2"/>
    </row>
    <row r="4" spans="1:12">
      <c r="A4" s="25" t="s">
        <v>102</v>
      </c>
      <c r="B4" s="26">
        <v>9855</v>
      </c>
      <c r="C4" s="3"/>
      <c r="D4" s="18"/>
      <c r="E4" s="73"/>
      <c r="F4" s="21"/>
      <c r="G4" s="33"/>
      <c r="H4" s="74"/>
      <c r="I4" s="19"/>
      <c r="J4" s="2"/>
      <c r="K4" s="2"/>
      <c r="L4" s="2"/>
    </row>
    <row r="5" ht="14.75" spans="1:12">
      <c r="A5" s="25" t="s">
        <v>103</v>
      </c>
      <c r="B5" s="27">
        <v>87</v>
      </c>
      <c r="C5" s="3" t="s">
        <v>98</v>
      </c>
      <c r="D5" s="2"/>
      <c r="E5" s="19"/>
      <c r="F5" s="21"/>
      <c r="G5" s="75"/>
      <c r="H5" s="76"/>
      <c r="I5" s="19"/>
      <c r="J5" s="2"/>
      <c r="K5" s="2"/>
      <c r="L5" s="2"/>
    </row>
    <row r="6" ht="14.75" spans="1:12">
      <c r="A6" s="28" t="s">
        <v>104</v>
      </c>
      <c r="B6" s="29">
        <v>9942</v>
      </c>
      <c r="C6" s="30" t="s">
        <v>105</v>
      </c>
      <c r="D6" s="19">
        <f>B6+B13</f>
        <v>9949</v>
      </c>
      <c r="E6" s="73"/>
      <c r="F6" s="21"/>
      <c r="G6" s="21"/>
      <c r="H6" s="76"/>
      <c r="I6" s="19"/>
      <c r="J6" s="2"/>
      <c r="K6" s="2"/>
      <c r="L6" s="2"/>
    </row>
    <row r="7" ht="14.75" spans="1:12">
      <c r="A7" s="25" t="s">
        <v>106</v>
      </c>
      <c r="B7" s="26">
        <v>3833</v>
      </c>
      <c r="C7" s="2" t="s">
        <v>107</v>
      </c>
      <c r="D7" s="31">
        <f>SUM(B7:B12)</f>
        <v>5362</v>
      </c>
      <c r="E7" s="73"/>
      <c r="F7" s="19"/>
      <c r="G7" s="21"/>
      <c r="H7" s="19"/>
      <c r="I7" s="19"/>
      <c r="J7" s="2"/>
      <c r="K7" s="2"/>
      <c r="L7" s="2"/>
    </row>
    <row r="8" ht="14.75" spans="1:12">
      <c r="A8" s="25" t="s">
        <v>108</v>
      </c>
      <c r="B8" s="27">
        <v>67</v>
      </c>
      <c r="C8" s="2" t="s">
        <v>109</v>
      </c>
      <c r="D8" s="2">
        <f>D6-D7</f>
        <v>4587</v>
      </c>
      <c r="E8" s="73"/>
      <c r="F8" s="19"/>
      <c r="G8" s="21"/>
      <c r="H8" s="77"/>
      <c r="I8" s="19"/>
      <c r="J8" s="2"/>
      <c r="K8" s="2"/>
      <c r="L8" s="2"/>
    </row>
    <row r="9" ht="14.75" spans="1:12">
      <c r="A9" s="25" t="s">
        <v>110</v>
      </c>
      <c r="B9" s="27">
        <v>820</v>
      </c>
      <c r="C9" s="30" t="s">
        <v>111</v>
      </c>
      <c r="D9" s="18">
        <f>D8*0.35</f>
        <v>1605.45</v>
      </c>
      <c r="E9" s="19"/>
      <c r="F9" s="21"/>
      <c r="G9" s="21"/>
      <c r="H9" s="19"/>
      <c r="I9" s="19"/>
      <c r="J9" s="2"/>
      <c r="K9" s="2"/>
      <c r="L9" s="2"/>
    </row>
    <row r="10" ht="14.75" spans="1:12">
      <c r="A10" s="25" t="s">
        <v>112</v>
      </c>
      <c r="B10" s="27">
        <v>140</v>
      </c>
      <c r="C10" s="19" t="s">
        <v>74</v>
      </c>
      <c r="D10" s="21">
        <f>D8-D9</f>
        <v>2981.55</v>
      </c>
      <c r="E10" s="78"/>
      <c r="F10" s="19"/>
      <c r="G10" s="21"/>
      <c r="H10" s="77"/>
      <c r="I10" s="19"/>
      <c r="J10" s="2"/>
      <c r="K10" s="2"/>
      <c r="L10" s="2"/>
    </row>
    <row r="11" ht="14.75" spans="1:12">
      <c r="A11" s="25" t="s">
        <v>113</v>
      </c>
      <c r="B11" s="27">
        <v>346</v>
      </c>
      <c r="C11" s="18" t="s">
        <v>114</v>
      </c>
      <c r="D11" s="32">
        <f>B14</f>
        <v>100</v>
      </c>
      <c r="E11" s="73"/>
      <c r="F11" s="19"/>
      <c r="G11" s="21"/>
      <c r="H11" s="19"/>
      <c r="I11" s="19"/>
      <c r="J11" s="2"/>
      <c r="K11" s="2"/>
      <c r="L11" s="2"/>
    </row>
    <row r="12" ht="14.75" spans="1:12">
      <c r="A12" s="25" t="s">
        <v>115</v>
      </c>
      <c r="B12" s="27">
        <v>156</v>
      </c>
      <c r="C12" s="18" t="s">
        <v>98</v>
      </c>
      <c r="D12" s="21">
        <f>D10/D11</f>
        <v>29.8155</v>
      </c>
      <c r="E12" s="73"/>
      <c r="F12" s="19"/>
      <c r="G12" s="21"/>
      <c r="H12" s="79"/>
      <c r="I12" s="19"/>
      <c r="J12" s="2"/>
      <c r="K12" s="2"/>
      <c r="L12" s="2"/>
    </row>
    <row r="13" spans="1:12">
      <c r="A13" s="25" t="s">
        <v>116</v>
      </c>
      <c r="B13" s="27">
        <v>7</v>
      </c>
      <c r="C13" s="19"/>
      <c r="D13" s="33"/>
      <c r="E13" s="80"/>
      <c r="F13" s="19"/>
      <c r="G13" s="21"/>
      <c r="H13" s="19"/>
      <c r="I13" s="19"/>
      <c r="J13" s="2"/>
      <c r="K13" s="2"/>
      <c r="L13" s="2"/>
    </row>
    <row r="14" ht="14.75" spans="1:12">
      <c r="A14" s="25" t="s">
        <v>117</v>
      </c>
      <c r="B14" s="27">
        <v>100</v>
      </c>
      <c r="C14" s="19"/>
      <c r="D14" s="21"/>
      <c r="E14" s="73"/>
      <c r="F14" s="19"/>
      <c r="G14" s="21"/>
      <c r="H14" s="73"/>
      <c r="I14" s="19"/>
      <c r="J14" s="2"/>
      <c r="K14" s="2"/>
      <c r="L14" s="2"/>
    </row>
    <row r="15" spans="1:12">
      <c r="A15" s="17"/>
      <c r="B15" s="2"/>
      <c r="C15" s="19"/>
      <c r="D15" s="33"/>
      <c r="E15" s="80"/>
      <c r="F15" s="19"/>
      <c r="G15" s="21"/>
      <c r="H15" s="19"/>
      <c r="I15" s="19"/>
      <c r="J15" s="2"/>
      <c r="K15" s="2"/>
      <c r="L15" s="2"/>
    </row>
    <row r="16" spans="1:11">
      <c r="A16" s="17" t="s">
        <v>118</v>
      </c>
      <c r="B16" s="2"/>
      <c r="C16" s="19"/>
      <c r="D16" s="19"/>
      <c r="E16" s="73"/>
      <c r="F16" s="19"/>
      <c r="G16" s="21"/>
      <c r="H16" s="73"/>
      <c r="I16" s="19"/>
      <c r="J16" s="2"/>
      <c r="K16" s="2"/>
    </row>
    <row r="17" ht="14.75" spans="1:11">
      <c r="A17" s="17" t="s">
        <v>119</v>
      </c>
      <c r="B17" s="2"/>
      <c r="C17" s="19"/>
      <c r="D17" s="19"/>
      <c r="E17" s="19"/>
      <c r="F17" s="19"/>
      <c r="G17" s="21"/>
      <c r="H17" s="19"/>
      <c r="I17" s="19"/>
      <c r="J17" s="2"/>
      <c r="K17" s="2"/>
    </row>
    <row r="18" ht="14.75" spans="1:8">
      <c r="A18" s="34" t="s">
        <v>120</v>
      </c>
      <c r="B18" s="35" t="s">
        <v>121</v>
      </c>
      <c r="C18" s="35" t="s">
        <v>122</v>
      </c>
      <c r="D18" s="36" t="s">
        <v>123</v>
      </c>
      <c r="E18" s="2"/>
      <c r="F18" s="2"/>
      <c r="G18" s="81"/>
      <c r="H18" s="2"/>
    </row>
    <row r="19" ht="14.75" spans="1:8">
      <c r="A19" s="25" t="s">
        <v>124</v>
      </c>
      <c r="B19" s="37">
        <v>50</v>
      </c>
      <c r="C19" s="37">
        <v>20</v>
      </c>
      <c r="D19" s="38">
        <v>90</v>
      </c>
      <c r="E19" s="2"/>
      <c r="F19" s="2"/>
      <c r="G19" s="2"/>
      <c r="H19" s="2"/>
    </row>
    <row r="20" ht="14.75" spans="1:8">
      <c r="A20" s="25" t="s">
        <v>125</v>
      </c>
      <c r="B20" s="37">
        <v>150</v>
      </c>
      <c r="C20" s="37">
        <v>45</v>
      </c>
      <c r="D20" s="38">
        <v>270</v>
      </c>
      <c r="E20" s="3"/>
      <c r="F20" s="2"/>
      <c r="G20" s="2"/>
      <c r="H20" s="2"/>
    </row>
    <row r="21" ht="14.75" spans="1:8">
      <c r="A21" s="25" t="s">
        <v>126</v>
      </c>
      <c r="B21" s="37">
        <f>B20/B19</f>
        <v>3</v>
      </c>
      <c r="C21" s="37">
        <f>C20/C19</f>
        <v>2.25</v>
      </c>
      <c r="D21" s="38">
        <v>3</v>
      </c>
      <c r="E21" s="2"/>
      <c r="F21" s="2"/>
      <c r="G21" s="2"/>
      <c r="H21" s="2"/>
    </row>
    <row r="22" spans="1:8">
      <c r="A22" s="39"/>
      <c r="E22" s="2"/>
      <c r="F22" s="2"/>
      <c r="G22" s="2"/>
      <c r="H22" s="2"/>
    </row>
    <row r="23" ht="42" spans="1:8">
      <c r="A23" s="40" t="s">
        <v>127</v>
      </c>
      <c r="B23" s="41"/>
      <c r="C23" s="41"/>
      <c r="D23" s="41"/>
      <c r="E23" s="41"/>
      <c r="F23" s="2"/>
      <c r="G23" s="2"/>
      <c r="H23" s="2"/>
    </row>
    <row r="24" spans="2:6">
      <c r="B24" s="40"/>
      <c r="C24" s="40"/>
      <c r="D24" s="42"/>
      <c r="E24" s="41"/>
      <c r="F24" s="82"/>
    </row>
    <row r="25" spans="1:6">
      <c r="A25" s="43" t="s">
        <v>120</v>
      </c>
      <c r="B25" s="3" t="s">
        <v>128</v>
      </c>
      <c r="C25" s="43" t="s">
        <v>129</v>
      </c>
      <c r="D25" s="44" t="s">
        <v>130</v>
      </c>
      <c r="E25" s="41"/>
      <c r="F25" s="82"/>
    </row>
    <row r="26" spans="1:6">
      <c r="A26" s="45"/>
      <c r="B26" s="46"/>
      <c r="C26" s="46"/>
      <c r="D26" s="47"/>
      <c r="E26" s="41"/>
      <c r="F26" s="82"/>
    </row>
    <row r="27" spans="1:6">
      <c r="A27" s="48" t="s">
        <v>131</v>
      </c>
      <c r="B27" s="49">
        <v>1542.9</v>
      </c>
      <c r="C27" s="50">
        <v>58.77</v>
      </c>
      <c r="D27" s="51">
        <f>B27/C27</f>
        <v>26.253190403267</v>
      </c>
      <c r="E27" s="41"/>
      <c r="F27" s="82"/>
    </row>
    <row r="28" spans="1:6">
      <c r="A28" s="48" t="s">
        <v>132</v>
      </c>
      <c r="B28" s="49">
        <v>471</v>
      </c>
      <c r="C28" s="50">
        <v>21.06</v>
      </c>
      <c r="D28" s="51">
        <f>B28/C28</f>
        <v>22.3646723646724</v>
      </c>
      <c r="E28" s="41"/>
      <c r="F28" s="82"/>
    </row>
    <row r="29" spans="1:6">
      <c r="A29" s="52" t="s">
        <v>133</v>
      </c>
      <c r="B29" s="53">
        <v>1466</v>
      </c>
      <c r="C29" s="53">
        <v>57.85</v>
      </c>
      <c r="D29" s="51">
        <f>B29/C29</f>
        <v>25.3414001728608</v>
      </c>
      <c r="E29" s="41"/>
      <c r="F29" s="82"/>
    </row>
    <row r="30" spans="1:6">
      <c r="A30" s="48"/>
      <c r="B30" s="54"/>
      <c r="C30" s="55" t="s">
        <v>134</v>
      </c>
      <c r="D30" s="56">
        <f>AVERAGE(D27:D29)</f>
        <v>24.6530876469334</v>
      </c>
      <c r="E30" s="65"/>
      <c r="F30" s="65"/>
    </row>
    <row r="31" ht="35" customHeight="1" spans="1:6">
      <c r="A31" s="43"/>
      <c r="B31" s="57"/>
      <c r="C31" s="58"/>
      <c r="D31" s="59"/>
      <c r="E31" s="83"/>
      <c r="F31" s="82"/>
    </row>
    <row r="32" spans="1:6">
      <c r="A32" s="40" t="s">
        <v>135</v>
      </c>
      <c r="B32" s="60">
        <v>122.6</v>
      </c>
      <c r="C32" s="2"/>
      <c r="D32" s="61"/>
      <c r="E32" s="68"/>
      <c r="F32" s="66"/>
    </row>
    <row r="33" spans="1:6">
      <c r="A33" s="43" t="s">
        <v>136</v>
      </c>
      <c r="B33" s="62">
        <f>D30*B32</f>
        <v>3022.46854551403</v>
      </c>
      <c r="C33" s="40"/>
      <c r="D33" s="63"/>
      <c r="E33" s="63"/>
      <c r="F33" s="63"/>
    </row>
    <row r="34" spans="1:5">
      <c r="A34" s="41" t="s">
        <v>137</v>
      </c>
      <c r="B34" s="64">
        <v>3793</v>
      </c>
      <c r="C34" s="65"/>
      <c r="D34" s="65"/>
      <c r="E34" s="2"/>
    </row>
    <row r="35" spans="1:5">
      <c r="A35" s="2" t="s">
        <v>138</v>
      </c>
      <c r="B35" s="66">
        <v>3810</v>
      </c>
      <c r="C35" s="67"/>
      <c r="D35" s="67"/>
      <c r="E35" s="2"/>
    </row>
    <row r="36" spans="1:5">
      <c r="A36" s="2"/>
      <c r="B36" s="68" t="s">
        <v>139</v>
      </c>
      <c r="C36" s="67"/>
      <c r="D36" s="67"/>
      <c r="E36" s="2"/>
    </row>
    <row r="37" spans="1:5">
      <c r="A37" s="3"/>
      <c r="B37" s="2"/>
      <c r="C37" s="2"/>
      <c r="D37" s="68"/>
      <c r="E37" s="2"/>
    </row>
    <row r="38" spans="1:5">
      <c r="A38" s="2"/>
      <c r="B38" s="2"/>
      <c r="C38" s="2"/>
      <c r="D38" s="2"/>
      <c r="E38" s="2"/>
    </row>
    <row r="39" spans="1:5">
      <c r="A39" s="3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</sheetData>
  <pageMargins left="0.699305555555556" right="0.699305555555556" top="0.75" bottom="0.75" header="0.3" footer="0.3"/>
  <pageSetup paperSize="9" scale="92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5"/>
  <sheetViews>
    <sheetView tabSelected="1" zoomScale="130" zoomScaleNormal="130" topLeftCell="C1" workbookViewId="0">
      <selection activeCell="F9" sqref="F9"/>
    </sheetView>
  </sheetViews>
  <sheetFormatPr defaultColWidth="9" defaultRowHeight="14"/>
  <cols>
    <col min="1" max="1" width="14.3125" style="2" customWidth="1"/>
    <col min="2" max="2" width="52.375" style="2" customWidth="1"/>
    <col min="3" max="3" width="12.6875" style="2"/>
    <col min="4" max="5" width="9" style="2"/>
    <col min="6" max="6" width="28" style="2" customWidth="1"/>
    <col min="7" max="10" width="12.6875" style="2"/>
    <col min="11" max="11" width="12.6875" style="2" customWidth="1"/>
    <col min="12" max="12" width="47.5" style="2" customWidth="1"/>
    <col min="13" max="13" width="12.6875" style="2"/>
    <col min="14" max="16384" width="9" style="2"/>
  </cols>
  <sheetData>
    <row r="1" spans="1:11">
      <c r="A1" s="3" t="s">
        <v>140</v>
      </c>
      <c r="E1" s="7"/>
      <c r="F1" s="7"/>
      <c r="G1" s="7"/>
      <c r="H1" s="7"/>
      <c r="I1" s="7"/>
      <c r="J1" s="7"/>
      <c r="K1" s="7"/>
    </row>
    <row r="2" s="1" customFormat="1" ht="42" spans="1:11">
      <c r="A2" s="1" t="s">
        <v>141</v>
      </c>
      <c r="E2" s="8">
        <v>1</v>
      </c>
      <c r="F2" s="8" t="s">
        <v>142</v>
      </c>
      <c r="G2" s="9"/>
      <c r="H2" s="9"/>
      <c r="I2" s="9"/>
      <c r="J2" s="9"/>
      <c r="K2" s="9"/>
    </row>
    <row r="3" spans="1:11">
      <c r="A3" s="2">
        <v>1</v>
      </c>
      <c r="B3" s="2" t="s">
        <v>143</v>
      </c>
      <c r="E3" s="10" t="s">
        <v>144</v>
      </c>
      <c r="F3" s="7" t="s">
        <v>145</v>
      </c>
      <c r="G3" s="7" t="s">
        <v>146</v>
      </c>
      <c r="H3" s="7">
        <f>3000*(1+0.35)^5</f>
        <v>13452.1003125</v>
      </c>
      <c r="I3" s="7"/>
      <c r="J3" s="7"/>
      <c r="K3" s="7"/>
    </row>
    <row r="4" spans="1:11">
      <c r="A4" s="2">
        <v>2</v>
      </c>
      <c r="B4" s="2" t="s">
        <v>147</v>
      </c>
      <c r="E4" s="7"/>
      <c r="F4" s="7"/>
      <c r="G4" s="7"/>
      <c r="H4" s="7"/>
      <c r="I4" s="7"/>
      <c r="J4" s="7"/>
      <c r="K4" s="7"/>
    </row>
    <row r="5" spans="1:13">
      <c r="A5" s="2">
        <v>3</v>
      </c>
      <c r="B5" s="2" t="s">
        <v>148</v>
      </c>
      <c r="E5" s="7"/>
      <c r="F5" s="7"/>
      <c r="G5" s="7">
        <f>C9*(1+C8)^C14</f>
        <v>13452.1003125</v>
      </c>
      <c r="H5" s="7" t="s">
        <v>149</v>
      </c>
      <c r="I5" s="7"/>
      <c r="J5" s="7"/>
      <c r="K5" s="7"/>
      <c r="M5" s="16"/>
    </row>
    <row r="6" spans="5:11">
      <c r="E6" s="7"/>
      <c r="F6" s="7"/>
      <c r="G6" s="7"/>
      <c r="H6" s="7"/>
      <c r="I6" s="7"/>
      <c r="J6" s="7"/>
      <c r="K6" s="7"/>
    </row>
    <row r="7" spans="1:11">
      <c r="A7" s="2" t="s">
        <v>5</v>
      </c>
      <c r="E7" s="10" t="s">
        <v>150</v>
      </c>
      <c r="F7" s="7" t="s">
        <v>151</v>
      </c>
      <c r="G7" s="7" t="s">
        <v>152</v>
      </c>
      <c r="H7" s="7"/>
      <c r="I7" s="7"/>
      <c r="J7" s="7"/>
      <c r="K7" s="7"/>
    </row>
    <row r="8" spans="2:11">
      <c r="B8" s="2" t="s">
        <v>153</v>
      </c>
      <c r="C8" s="2">
        <v>0.35</v>
      </c>
      <c r="E8" s="7"/>
      <c r="F8" s="7"/>
      <c r="G8" s="7"/>
      <c r="H8" s="7"/>
      <c r="I8" s="7"/>
      <c r="J8" s="7"/>
      <c r="K8" s="7"/>
    </row>
    <row r="9" spans="2:13">
      <c r="B9" s="2" t="s">
        <v>154</v>
      </c>
      <c r="C9" s="2">
        <v>3000</v>
      </c>
      <c r="D9" s="2" t="s">
        <v>149</v>
      </c>
      <c r="E9" s="7"/>
      <c r="F9" s="7"/>
      <c r="G9" s="7">
        <f>C10*C13+C12-C11</f>
        <v>22300</v>
      </c>
      <c r="H9" s="7" t="s">
        <v>149</v>
      </c>
      <c r="I9" s="7"/>
      <c r="J9" s="7"/>
      <c r="K9" s="7"/>
      <c r="M9" s="16"/>
    </row>
    <row r="10" spans="2:13">
      <c r="B10" s="2" t="s">
        <v>155</v>
      </c>
      <c r="C10" s="2">
        <v>4000</v>
      </c>
      <c r="D10" s="2" t="s">
        <v>149</v>
      </c>
      <c r="E10" s="7"/>
      <c r="F10" s="7"/>
      <c r="G10" s="7"/>
      <c r="H10" s="7"/>
      <c r="I10" s="7"/>
      <c r="J10" s="7"/>
      <c r="K10" s="7"/>
      <c r="M10" s="16"/>
    </row>
    <row r="11" spans="2:11">
      <c r="B11" s="2" t="s">
        <v>156</v>
      </c>
      <c r="C11" s="2">
        <v>2500</v>
      </c>
      <c r="D11" s="2" t="s">
        <v>149</v>
      </c>
      <c r="E11" s="7"/>
      <c r="F11" s="10" t="s">
        <v>157</v>
      </c>
      <c r="G11" s="11">
        <f>G5/G9</f>
        <v>0.603233197869955</v>
      </c>
      <c r="H11" s="7"/>
      <c r="I11" s="13"/>
      <c r="J11" s="7"/>
      <c r="K11" s="7"/>
    </row>
    <row r="12" spans="2:11">
      <c r="B12" s="2" t="s">
        <v>158</v>
      </c>
      <c r="C12" s="2">
        <v>800</v>
      </c>
      <c r="D12" s="2" t="s">
        <v>149</v>
      </c>
      <c r="E12" s="7"/>
      <c r="F12" s="7"/>
      <c r="G12" s="7"/>
      <c r="H12" s="7"/>
      <c r="I12" s="7"/>
      <c r="J12" s="7"/>
      <c r="K12" s="7"/>
    </row>
    <row r="13" spans="1:11">
      <c r="A13" s="2" t="s">
        <v>159</v>
      </c>
      <c r="B13" s="2" t="s">
        <v>160</v>
      </c>
      <c r="C13" s="2">
        <v>6</v>
      </c>
      <c r="D13" s="2" t="s">
        <v>161</v>
      </c>
      <c r="E13" s="10">
        <v>2</v>
      </c>
      <c r="F13" s="10" t="s">
        <v>162</v>
      </c>
      <c r="G13" s="7"/>
      <c r="H13" s="7"/>
      <c r="I13" s="10" t="s">
        <v>163</v>
      </c>
      <c r="J13" s="10"/>
      <c r="K13" s="10"/>
    </row>
    <row r="14" spans="2:12">
      <c r="B14" s="2" t="s">
        <v>164</v>
      </c>
      <c r="C14" s="2">
        <v>5</v>
      </c>
      <c r="D14" s="2" t="s">
        <v>165</v>
      </c>
      <c r="E14" s="7"/>
      <c r="F14" s="7"/>
      <c r="G14" s="7"/>
      <c r="H14" s="7"/>
      <c r="I14" s="10"/>
      <c r="J14" s="10"/>
      <c r="K14" s="10"/>
      <c r="L14" s="14"/>
    </row>
    <row r="15" spans="5:13">
      <c r="E15" s="7" t="s">
        <v>144</v>
      </c>
      <c r="F15" s="7" t="s">
        <v>166</v>
      </c>
      <c r="G15" s="7">
        <f>C9</f>
        <v>3000</v>
      </c>
      <c r="H15" s="7" t="s">
        <v>149</v>
      </c>
      <c r="I15" s="10" t="s">
        <v>167</v>
      </c>
      <c r="J15" s="10">
        <v>16</v>
      </c>
      <c r="K15" s="10"/>
      <c r="L15" s="14"/>
      <c r="M15" s="14"/>
    </row>
    <row r="16" spans="2:13">
      <c r="B16" s="3"/>
      <c r="E16" s="7" t="s">
        <v>150</v>
      </c>
      <c r="F16" s="7" t="s">
        <v>168</v>
      </c>
      <c r="G16" s="12">
        <f>G11</f>
        <v>0.603233197869955</v>
      </c>
      <c r="H16" s="13">
        <v>1</v>
      </c>
      <c r="I16" s="10" t="s">
        <v>169</v>
      </c>
      <c r="J16" s="10">
        <v>0.77</v>
      </c>
      <c r="K16" s="10" t="s">
        <v>170</v>
      </c>
      <c r="L16" s="14"/>
      <c r="M16" s="14"/>
    </row>
    <row r="17" spans="5:13">
      <c r="E17" s="7"/>
      <c r="F17" s="7"/>
      <c r="G17" s="7"/>
      <c r="H17" s="7"/>
      <c r="I17" s="10"/>
      <c r="J17" s="10"/>
      <c r="K17" s="10"/>
      <c r="M17" s="14"/>
    </row>
    <row r="18" spans="5:12">
      <c r="E18" s="7"/>
      <c r="F18" s="10" t="s">
        <v>171</v>
      </c>
      <c r="G18" s="10">
        <f>G15/G16</f>
        <v>4973.20109468965</v>
      </c>
      <c r="H18" s="10" t="s">
        <v>149</v>
      </c>
      <c r="I18" s="10" t="s">
        <v>172</v>
      </c>
      <c r="J18" s="10">
        <f>J15/J16</f>
        <v>20.7792207792208</v>
      </c>
      <c r="K18" s="10"/>
      <c r="L18" s="15"/>
    </row>
    <row r="19" spans="5:13">
      <c r="E19" s="7"/>
      <c r="F19" s="7"/>
      <c r="G19" s="7"/>
      <c r="H19" s="7"/>
      <c r="I19" s="7" t="s">
        <v>173</v>
      </c>
      <c r="J19" s="7">
        <f>J18-J15</f>
        <v>4.77922077922078</v>
      </c>
      <c r="K19" s="7"/>
      <c r="M19" s="14"/>
    </row>
    <row r="20" spans="5:11">
      <c r="E20" s="10">
        <v>3</v>
      </c>
      <c r="F20" s="10" t="s">
        <v>174</v>
      </c>
      <c r="G20" s="7"/>
      <c r="H20" s="7"/>
      <c r="I20" s="7"/>
      <c r="J20" s="7"/>
      <c r="K20" s="7"/>
    </row>
    <row r="21" spans="5:11">
      <c r="E21" s="7" t="s">
        <v>144</v>
      </c>
      <c r="F21" s="7" t="s">
        <v>175</v>
      </c>
      <c r="G21" s="7">
        <f>G18</f>
        <v>4973.20109468965</v>
      </c>
      <c r="H21" s="7" t="s">
        <v>149</v>
      </c>
      <c r="I21" s="7"/>
      <c r="J21" s="7"/>
      <c r="K21" s="7"/>
    </row>
    <row r="22" spans="3:11">
      <c r="C22" s="4"/>
      <c r="E22" s="7" t="s">
        <v>150</v>
      </c>
      <c r="F22" s="7" t="str">
        <f>F15</f>
        <v>Funds invested by PE</v>
      </c>
      <c r="G22" s="7">
        <f>G15</f>
        <v>3000</v>
      </c>
      <c r="H22" s="7" t="s">
        <v>149</v>
      </c>
      <c r="I22" s="7"/>
      <c r="J22" s="7"/>
      <c r="K22" s="7"/>
    </row>
    <row r="23" spans="2:11">
      <c r="B23" s="5"/>
      <c r="C23" s="6"/>
      <c r="E23" s="7"/>
      <c r="F23" s="10" t="s">
        <v>176</v>
      </c>
      <c r="G23" s="10">
        <f>G21-G22</f>
        <v>1973.20109468965</v>
      </c>
      <c r="H23" s="10" t="s">
        <v>149</v>
      </c>
      <c r="I23" s="13"/>
      <c r="J23" s="7"/>
      <c r="K23" s="7"/>
    </row>
    <row r="24" spans="5:11">
      <c r="E24" s="7"/>
      <c r="F24" s="10" t="s">
        <v>177</v>
      </c>
      <c r="G24" s="10"/>
      <c r="H24" s="10"/>
      <c r="I24" s="7"/>
      <c r="J24" s="7"/>
      <c r="K24" s="7"/>
    </row>
    <row r="25" spans="2:2">
      <c r="B25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DCF</vt:lpstr>
      <vt:lpstr>Relative</vt:lpstr>
      <vt:lpstr>Startup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</dc:creator>
  <cp:lastModifiedBy>Chirag</cp:lastModifiedBy>
  <dcterms:created xsi:type="dcterms:W3CDTF">2015-06-20T10:17:00Z</dcterms:created>
  <dcterms:modified xsi:type="dcterms:W3CDTF">2024-01-28T14:09:19Z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