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notes\6th trem\CV\Assignment 1\"/>
    </mc:Choice>
  </mc:AlternateContent>
  <xr:revisionPtr revIDLastSave="0" documentId="13_ncr:1_{416554D9-A056-4D3A-B3B4-49B8E9787BC6}" xr6:coauthVersionLast="47" xr6:coauthVersionMax="47" xr10:uidLastSave="{00000000-0000-0000-0000-000000000000}"/>
  <bookViews>
    <workbookView xWindow="-108" yWindow="-108" windowWidth="23256" windowHeight="12456" tabRatio="500" activeTab="1" xr2:uid="{00000000-000D-0000-FFFF-FFFF00000000}"/>
  </bookViews>
  <sheets>
    <sheet name="Inputs" sheetId="1" r:id="rId1"/>
    <sheet name="Valuation" sheetId="2" r:id="rId2"/>
    <sheet name="US Industry averages" sheetId="6" r:id="rId3"/>
    <sheet name="Global industry averages" sheetId="7" r:id="rId4"/>
    <sheet name="Input choices" sheetId="3" r:id="rId5"/>
    <sheet name="Option value" sheetId="12" r:id="rId6"/>
    <sheet name="Story &amp; Numbers" sheetId="10" r:id="rId7"/>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 i="1" l="1"/>
  <c r="B21" i="1" l="1"/>
  <c r="B2" i="1"/>
  <c r="E6" i="1"/>
  <c r="E4" i="1"/>
  <c r="B10" i="1" l="1"/>
  <c r="B32" i="2"/>
  <c r="D2" i="12"/>
  <c r="B29" i="1" l="1"/>
  <c r="L17" i="2" s="1"/>
  <c r="B13" i="10"/>
  <c r="D40" i="10"/>
  <c r="D8" i="12"/>
  <c r="F13" i="12" s="1"/>
  <c r="D7" i="12"/>
  <c r="F15" i="12" s="1"/>
  <c r="F18" i="12" s="1"/>
  <c r="D5" i="12"/>
  <c r="D4" i="12"/>
  <c r="C17" i="12" s="1"/>
  <c r="D3" i="12"/>
  <c r="C14" i="12" s="1"/>
  <c r="C16" i="12" s="1"/>
  <c r="F17" i="12"/>
  <c r="F16" i="12"/>
  <c r="C13" i="12"/>
  <c r="C7" i="10"/>
  <c r="B18" i="1"/>
  <c r="B11" i="10" s="1"/>
  <c r="B27" i="2"/>
  <c r="D9" i="12"/>
  <c r="F14" i="12" s="1"/>
  <c r="M19" i="2"/>
  <c r="B27" i="1"/>
  <c r="B17" i="2" s="1"/>
  <c r="B12" i="10" s="1"/>
  <c r="D11" i="2" l="1"/>
  <c r="E23" i="1"/>
  <c r="B2" i="2"/>
  <c r="E2" i="1"/>
  <c r="C35" i="2" l="1"/>
  <c r="B29" i="2" l="1"/>
  <c r="D37" i="10" s="1"/>
  <c r="D36" i="10" l="1"/>
  <c r="B53" i="1"/>
  <c r="C17" i="2"/>
  <c r="B9" i="10"/>
  <c r="B16" i="1"/>
  <c r="E9" i="10" s="1"/>
  <c r="B26" i="2"/>
  <c r="D35" i="10" s="1"/>
  <c r="B4" i="2"/>
  <c r="B7" i="2"/>
  <c r="B9" i="2" s="1"/>
  <c r="B10" i="2" s="1"/>
  <c r="L8" i="2"/>
  <c r="B8" i="2"/>
  <c r="E11" i="2"/>
  <c r="F11" i="2" s="1"/>
  <c r="G11" i="2" s="1"/>
  <c r="H11" i="2" s="1"/>
  <c r="I11" i="2" s="1"/>
  <c r="J11" i="2" s="1"/>
  <c r="K11" i="2" s="1"/>
  <c r="L11" i="2" s="1"/>
  <c r="B24" i="2"/>
  <c r="D32" i="10" s="1"/>
  <c r="B8" i="1"/>
  <c r="M2" i="2" s="1"/>
  <c r="B23" i="1"/>
  <c r="E10" i="10"/>
  <c r="B13" i="1"/>
  <c r="E8" i="10" s="1"/>
  <c r="B56" i="1"/>
  <c r="B55" i="1"/>
  <c r="B54" i="1"/>
  <c r="B52" i="1"/>
  <c r="B51" i="1"/>
  <c r="B50" i="1"/>
  <c r="B49" i="1"/>
  <c r="O2" i="2" l="1"/>
  <c r="E7" i="10"/>
  <c r="G8" i="2"/>
  <c r="L6" i="2"/>
  <c r="M6" i="2" s="1"/>
  <c r="M3" i="2"/>
  <c r="C26" i="10" s="1"/>
  <c r="L4" i="2"/>
  <c r="G4" i="2" s="1"/>
  <c r="B3" i="2"/>
  <c r="B8" i="10" s="1"/>
  <c r="B7" i="10"/>
  <c r="I8" i="2"/>
  <c r="J8" i="2"/>
  <c r="F8" i="2"/>
  <c r="M8" i="2"/>
  <c r="H8" i="2"/>
  <c r="K8" i="2"/>
  <c r="D8" i="2"/>
  <c r="C18" i="2"/>
  <c r="D17" i="2"/>
  <c r="E17" i="2" s="1"/>
  <c r="F17" i="2" s="1"/>
  <c r="G17" i="2" s="1"/>
  <c r="I17" i="2" s="1"/>
  <c r="C8" i="2"/>
  <c r="E8" i="2"/>
  <c r="E12" i="10"/>
  <c r="G2" i="2" l="1"/>
  <c r="K2" i="2" s="1"/>
  <c r="D2" i="2"/>
  <c r="C2" i="2"/>
  <c r="B16" i="10" s="1"/>
  <c r="F2" i="2"/>
  <c r="E2" i="2"/>
  <c r="E4" i="2"/>
  <c r="M4" i="2"/>
  <c r="J4" i="2"/>
  <c r="F4" i="2"/>
  <c r="I4" i="2"/>
  <c r="C4" i="2"/>
  <c r="K4" i="2"/>
  <c r="D4" i="2"/>
  <c r="H4" i="2"/>
  <c r="B5" i="2"/>
  <c r="B6" i="2" s="1"/>
  <c r="C6" i="2" s="1"/>
  <c r="C3" i="2"/>
  <c r="D3" i="2" s="1"/>
  <c r="K17" i="2"/>
  <c r="J17" i="2"/>
  <c r="H17" i="2"/>
  <c r="D18" i="2"/>
  <c r="E18" i="2" s="1"/>
  <c r="F18" i="2" s="1"/>
  <c r="G18" i="2" s="1"/>
  <c r="I2" i="2" l="1"/>
  <c r="L2" i="2"/>
  <c r="J2" i="2"/>
  <c r="H2" i="2"/>
  <c r="B21" i="10" s="1"/>
  <c r="C5" i="2"/>
  <c r="C7" i="2" s="1"/>
  <c r="B10" i="10"/>
  <c r="C16" i="10"/>
  <c r="H18" i="2"/>
  <c r="I18" i="2" s="1"/>
  <c r="J18" i="2" s="1"/>
  <c r="K18" i="2" s="1"/>
  <c r="L18" i="2" s="1"/>
  <c r="E3" i="2"/>
  <c r="C17" i="10"/>
  <c r="B26" i="10"/>
  <c r="M5" i="2"/>
  <c r="D6" i="2"/>
  <c r="C9" i="2" l="1"/>
  <c r="C10" i="2" s="1"/>
  <c r="D35" i="2"/>
  <c r="D16" i="10"/>
  <c r="C12" i="2"/>
  <c r="F16" i="10" s="1"/>
  <c r="E6" i="2"/>
  <c r="D26" i="10"/>
  <c r="M7" i="2"/>
  <c r="F3" i="2"/>
  <c r="C18" i="10"/>
  <c r="E16" i="10" l="1"/>
  <c r="C13" i="2"/>
  <c r="C19" i="10"/>
  <c r="G3" i="2"/>
  <c r="M9" i="2"/>
  <c r="M10" i="2" s="1"/>
  <c r="F6" i="2"/>
  <c r="M12" i="2" l="1"/>
  <c r="E26" i="10"/>
  <c r="G6" i="2"/>
  <c r="C20" i="10"/>
  <c r="H3" i="2"/>
  <c r="C15" i="2"/>
  <c r="G16" i="10"/>
  <c r="F26" i="10" l="1"/>
  <c r="E11" i="10"/>
  <c r="C21" i="10"/>
  <c r="I3" i="2"/>
  <c r="M13" i="2"/>
  <c r="H6" i="2"/>
  <c r="I6" i="2" l="1"/>
  <c r="J3" i="2"/>
  <c r="C22" i="10"/>
  <c r="G26" i="10"/>
  <c r="L14" i="2"/>
  <c r="J6" i="2" l="1"/>
  <c r="C23" i="10"/>
  <c r="K3" i="2"/>
  <c r="D28" i="10"/>
  <c r="L16" i="2"/>
  <c r="B22" i="2" s="1"/>
  <c r="D29" i="10" s="1"/>
  <c r="L3" i="2" l="1"/>
  <c r="C24" i="10"/>
  <c r="K6" i="2"/>
  <c r="C25" i="10" l="1"/>
  <c r="B17" i="10" l="1"/>
  <c r="B18" i="10"/>
  <c r="B19" i="10"/>
  <c r="B20" i="10"/>
  <c r="B22" i="10"/>
  <c r="B23" i="10"/>
  <c r="B24" i="10"/>
  <c r="B25" i="10"/>
  <c r="D5" i="2"/>
  <c r="D17" i="10" s="1"/>
  <c r="E5" i="2"/>
  <c r="D18" i="10" s="1"/>
  <c r="F5" i="2"/>
  <c r="F7" i="2" s="1"/>
  <c r="G5" i="2"/>
  <c r="D20" i="10" s="1"/>
  <c r="H5" i="2"/>
  <c r="D21" i="10" s="1"/>
  <c r="I5" i="2"/>
  <c r="I7" i="2" s="1"/>
  <c r="J5" i="2"/>
  <c r="J7" i="2" s="1"/>
  <c r="K5" i="2"/>
  <c r="K7" i="2" s="1"/>
  <c r="L5" i="2"/>
  <c r="D25" i="10" s="1"/>
  <c r="E7" i="2" l="1"/>
  <c r="E12" i="2"/>
  <c r="F18" i="10" s="1"/>
  <c r="D12" i="2"/>
  <c r="F17" i="10" s="1"/>
  <c r="H7" i="2"/>
  <c r="D7" i="2"/>
  <c r="D9" i="2" s="1"/>
  <c r="D10" i="2" s="1"/>
  <c r="E17" i="10" s="1"/>
  <c r="D24" i="10"/>
  <c r="D23" i="10"/>
  <c r="L12" i="2"/>
  <c r="F25" i="10" s="1"/>
  <c r="K12" i="2"/>
  <c r="F24" i="10" s="1"/>
  <c r="J12" i="2"/>
  <c r="F23" i="10" s="1"/>
  <c r="L7" i="2"/>
  <c r="F12" i="2"/>
  <c r="F19" i="10" s="1"/>
  <c r="G7" i="2"/>
  <c r="H12" i="2"/>
  <c r="F21" i="10" s="1"/>
  <c r="D22" i="10"/>
  <c r="G12" i="2"/>
  <c r="F20" i="10" s="1"/>
  <c r="I12" i="2"/>
  <c r="F22" i="10" s="1"/>
  <c r="D19" i="10"/>
  <c r="E35" i="2" l="1"/>
  <c r="D13" i="2"/>
  <c r="D15" i="2" s="1"/>
  <c r="G17" i="10" l="1"/>
  <c r="F35" i="2"/>
  <c r="E9" i="2"/>
  <c r="E10" i="2" s="1"/>
  <c r="E13" i="2" l="1"/>
  <c r="E18" i="10"/>
  <c r="G35" i="2"/>
  <c r="F9" i="2"/>
  <c r="F10" i="2" s="1"/>
  <c r="F13" i="2" l="1"/>
  <c r="E19" i="10"/>
  <c r="H35" i="2"/>
  <c r="G9" i="2"/>
  <c r="G10" i="2" s="1"/>
  <c r="G18" i="10"/>
  <c r="E15" i="2"/>
  <c r="E20" i="10" l="1"/>
  <c r="G13" i="2"/>
  <c r="I35" i="2"/>
  <c r="H9" i="2"/>
  <c r="H10" i="2" s="1"/>
  <c r="G19" i="10"/>
  <c r="F15" i="2"/>
  <c r="E21" i="10" l="1"/>
  <c r="H13" i="2"/>
  <c r="J35" i="2"/>
  <c r="I9" i="2"/>
  <c r="I10" i="2" s="1"/>
  <c r="G15" i="2"/>
  <c r="G20" i="10"/>
  <c r="E22" i="10" l="1"/>
  <c r="I13" i="2"/>
  <c r="J9" i="2"/>
  <c r="J10" i="2" s="1"/>
  <c r="K35" i="2"/>
  <c r="H15" i="2"/>
  <c r="G21" i="10"/>
  <c r="L35" i="2" l="1"/>
  <c r="L9" i="2" s="1"/>
  <c r="L10" i="2" s="1"/>
  <c r="K9" i="2"/>
  <c r="K10" i="2" s="1"/>
  <c r="I15" i="2"/>
  <c r="G22" i="10"/>
  <c r="E23" i="10"/>
  <c r="J13" i="2"/>
  <c r="J15" i="2" l="1"/>
  <c r="G23" i="10"/>
  <c r="K13" i="2"/>
  <c r="E24" i="10"/>
  <c r="E25" i="10"/>
  <c r="L13" i="2"/>
  <c r="G25" i="10" l="1"/>
  <c r="L15" i="2"/>
  <c r="G24" i="10"/>
  <c r="K15" i="2"/>
  <c r="D30" i="10" l="1"/>
  <c r="D31" i="10" s="1"/>
  <c r="B21" i="2"/>
  <c r="B23" i="2" s="1"/>
  <c r="B25" i="2" s="1"/>
  <c r="B28" i="2" l="1"/>
  <c r="B30" i="2" s="1"/>
  <c r="B59" i="1" s="1"/>
  <c r="B58" i="1"/>
  <c r="B62" i="1" s="1"/>
  <c r="D34" i="10"/>
  <c r="D38" i="10" l="1"/>
  <c r="B60" i="1" l="1"/>
  <c r="C15" i="12"/>
  <c r="B20" i="12"/>
  <c r="B21" i="12"/>
  <c r="B23" i="12"/>
  <c r="B24" i="12"/>
  <c r="C26" i="12"/>
  <c r="D27" i="12"/>
  <c r="D39" i="10"/>
  <c r="D41" i="10"/>
  <c r="B31" i="2"/>
  <c r="B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3" authorId="0" shapeId="0" xr:uid="{00000000-0006-0000-0000-000001000000}">
      <text>
        <r>
          <rPr>
            <b/>
            <sz val="9"/>
            <color rgb="FF000000"/>
            <rFont val="Calibri"/>
            <family val="2"/>
          </rPr>
          <t>Aswath Damodaran:</t>
        </r>
        <r>
          <rPr>
            <sz val="9"/>
            <color rgb="FF000000"/>
            <rFont val="Calibri"/>
            <family val="2"/>
          </rPr>
          <t xml:space="preserve">
</t>
        </r>
        <r>
          <rPr>
            <sz val="9"/>
            <color rgb="FF000000"/>
            <rFont val="Calibri"/>
            <family val="2"/>
          </rPr>
          <t>This is the gross receipt from the customers who use Uber for their transportation. These receipts are shared between Uber and the car driver. The most recent estimate was of $1.2 billion but since it is a few months old, I scaled it up to reflect the company's rapid growth.</t>
        </r>
      </text>
    </comment>
    <comment ref="B4" authorId="0" shapeId="0" xr:uid="{00000000-0006-0000-0000-000002000000}">
      <text>
        <r>
          <rPr>
            <b/>
            <sz val="9"/>
            <color rgb="FF000000"/>
            <rFont val="Calibri"/>
            <family val="2"/>
          </rPr>
          <t>Aswath Damodaran:</t>
        </r>
        <r>
          <rPr>
            <sz val="9"/>
            <color rgb="FF000000"/>
            <rFont val="Calibri"/>
            <family val="2"/>
          </rPr>
          <t xml:space="preserve">
</t>
        </r>
        <r>
          <rPr>
            <sz val="9"/>
            <color rgb="FF000000"/>
            <rFont val="Calibri"/>
            <family val="2"/>
          </rPr>
          <t>Uber has taken a 20% cut of the gross receipts. The most recent estimate was of $220 million, but I scaled up this up as well to reflect growth.</t>
        </r>
      </text>
    </comment>
    <comment ref="B5" authorId="0" shapeId="0" xr:uid="{00000000-0006-0000-0000-000003000000}">
      <text>
        <r>
          <rPr>
            <b/>
            <sz val="9"/>
            <color rgb="FF000000"/>
            <rFont val="Calibri"/>
            <family val="2"/>
          </rPr>
          <t>Aswath Damodaran:</t>
        </r>
        <r>
          <rPr>
            <sz val="9"/>
            <color rgb="FF000000"/>
            <rFont val="Calibri"/>
            <family val="2"/>
          </rPr>
          <t xml:space="preserve">
</t>
        </r>
        <r>
          <rPr>
            <sz val="9"/>
            <color rgb="FF000000"/>
            <rFont val="Calibri"/>
            <family val="2"/>
          </rPr>
          <t>I have absolutely no idea, and I am probably being generous in assuming that the company is making money.</t>
        </r>
      </text>
    </comment>
    <comment ref="B8" authorId="0" shapeId="0" xr:uid="{00000000-0006-0000-0000-000004000000}">
      <text>
        <r>
          <rPr>
            <b/>
            <sz val="9"/>
            <color rgb="FF000000"/>
            <rFont val="Calibri"/>
            <family val="2"/>
          </rPr>
          <t>Aswath Damodaran:</t>
        </r>
        <r>
          <rPr>
            <sz val="9"/>
            <color rgb="FF000000"/>
            <rFont val="Calibri"/>
            <family val="2"/>
          </rPr>
          <t xml:space="preserve">
</t>
        </r>
        <r>
          <rPr>
            <sz val="9"/>
            <color rgb="FF000000"/>
            <rFont val="Calibri"/>
            <family val="2"/>
          </rPr>
          <t>Stitched together from some real estimates (US taxi &amp; limo market in 2013 was $11 billion, UK market was $9 billion, Tokyo alone is $22 billion) and guesstimates for the rest of the world.</t>
        </r>
      </text>
    </comment>
    <comment ref="B10" authorId="0" shapeId="0" xr:uid="{00000000-0006-0000-0000-000005000000}">
      <text>
        <r>
          <rPr>
            <b/>
            <sz val="9"/>
            <color rgb="FF000000"/>
            <rFont val="Calibri"/>
            <family val="2"/>
          </rPr>
          <t>Aswath Damodaran:</t>
        </r>
        <r>
          <rPr>
            <sz val="9"/>
            <color rgb="FF000000"/>
            <rFont val="Calibri"/>
            <family val="2"/>
          </rPr>
          <t xml:space="preserve">
</t>
        </r>
        <r>
          <rPr>
            <sz val="9"/>
            <color rgb="FF000000"/>
            <rFont val="Calibri"/>
            <family val="2"/>
          </rPr>
          <t>Much of this growth is coming from under served cities in emerging markets, but some of it is from Uber expanding the taxi market by letting unlicensed cabs (people with cars and capacity to ferry others) into the market.</t>
        </r>
      </text>
    </comment>
    <comment ref="B13" authorId="0" shapeId="0" xr:uid="{00000000-0006-0000-0000-000006000000}">
      <text>
        <r>
          <rPr>
            <b/>
            <sz val="9"/>
            <color rgb="FF000000"/>
            <rFont val="Calibri"/>
            <family val="2"/>
          </rPr>
          <t>Aswath Damodaran:</t>
        </r>
        <r>
          <rPr>
            <sz val="9"/>
            <color rgb="FF000000"/>
            <rFont val="Calibri"/>
            <family val="2"/>
          </rPr>
          <t xml:space="preserve">
</t>
        </r>
        <r>
          <rPr>
            <sz val="9"/>
            <color rgb="FF000000"/>
            <rFont val="Calibri"/>
            <family val="2"/>
          </rPr>
          <t xml:space="preserve">The market share will reflect your assessment of several variables:
</t>
        </r>
        <r>
          <rPr>
            <sz val="9"/>
            <color rgb="FF000000"/>
            <rFont val="Calibri"/>
            <family val="2"/>
          </rPr>
          <t xml:space="preserve">1. The efficiency  of the status quo or producers/consumers: The existing taxi market has been place for decades and is regulated in most big cities, with cities restricting new entry into the business in return for setting fares and charging entry fees. Under the existing system, cab drivers get a relatively small share of the taxi revenue pie (5-10%) and customers in many cities (which are under served) either find themselves without taxis or have to wait a long time. Thus, both cab drivers and customers may be open to different models.
</t>
        </r>
        <r>
          <rPr>
            <sz val="9"/>
            <color rgb="FF000000"/>
            <rFont val="Calibri"/>
            <family val="2"/>
          </rPr>
          <t xml:space="preserve">2. Competition: Uber uses technology to deliver transportation to customers, but it is not the only company that is doing so. Other competitors like Lyft aad Hailo also do what Uber does and they have their own deep pocketed investors.
</t>
        </r>
        <r>
          <rPr>
            <sz val="9"/>
            <color rgb="FF000000"/>
            <rFont val="Calibri"/>
            <family val="2"/>
          </rPr>
          <t>3. Regulation: The cities where Uber and its competitors are trying to generate their revenues are regulated at the moment, and the the existing players (taxi owners, taxi drivers  in traditional companies, city regulators) will make it difficult for the competition. These difficulties will affect the speed with which disurption occurs in these markets and increase the costs with Uber having to accept regulatory oversight in return for entering the business.</t>
        </r>
      </text>
    </comment>
    <comment ref="B14" authorId="0" shapeId="0" xr:uid="{00000000-0006-0000-0000-000007000000}">
      <text>
        <r>
          <rPr>
            <b/>
            <sz val="9"/>
            <color rgb="FF000000"/>
            <rFont val="Calibri"/>
            <family val="2"/>
          </rPr>
          <t>Aswath Damodaran:</t>
        </r>
        <r>
          <rPr>
            <sz val="9"/>
            <color rgb="FF000000"/>
            <rFont val="Calibri"/>
            <family val="2"/>
          </rPr>
          <t xml:space="preserve">
</t>
        </r>
        <r>
          <rPr>
            <sz val="9"/>
            <color rgb="FF000000"/>
            <rFont val="Calibri"/>
            <family val="2"/>
          </rPr>
          <t>See the comment on market share. Same forces will affect this speed.</t>
        </r>
      </text>
    </comment>
    <comment ref="B16" authorId="0" shapeId="0" xr:uid="{00000000-0006-0000-0000-000008000000}">
      <text>
        <r>
          <rPr>
            <b/>
            <sz val="9"/>
            <color rgb="FF000000"/>
            <rFont val="Calibri"/>
            <family val="2"/>
          </rPr>
          <t>Aswath Damodaran:</t>
        </r>
        <r>
          <rPr>
            <sz val="9"/>
            <color rgb="FF000000"/>
            <rFont val="Calibri"/>
            <family val="2"/>
          </rPr>
          <t xml:space="preserve">
</t>
        </r>
        <r>
          <rPr>
            <sz val="9"/>
            <color rgb="FF000000"/>
            <rFont val="Calibri"/>
            <family val="2"/>
          </rPr>
          <t>See the comment on market share. Same forces will affect how much of the taxi receipts accrue to Uber. To the extent that taxi drivers may be able to play Uber off against Lyft and Hailo, this number will come under downward pressure.</t>
        </r>
      </text>
    </comment>
    <comment ref="B17" authorId="0" shapeId="0" xr:uid="{00000000-0006-0000-0000-000009000000}">
      <text>
        <r>
          <rPr>
            <b/>
            <sz val="9"/>
            <color rgb="FF000000"/>
            <rFont val="Calibri"/>
            <family val="2"/>
          </rPr>
          <t>Aswath Damodaran:</t>
        </r>
        <r>
          <rPr>
            <sz val="9"/>
            <color rgb="FF000000"/>
            <rFont val="Calibri"/>
            <family val="2"/>
          </rPr>
          <t xml:space="preserve">
</t>
        </r>
        <r>
          <rPr>
            <sz val="9"/>
            <color rgb="FF000000"/>
            <rFont val="Calibri"/>
            <family val="2"/>
          </rPr>
          <t>The higher this number, the less capital investment is needed to expand this business. Right now, Uber and its competitors don't own the cars that the drivers use and the bulk of the investment is in technology infrastructure (R&amp;D). As Uber grows, it may have to acquire new technologies and upstart competitors. The median value for technology companies on this is about 2.50. A really high number would be about 10.00.</t>
        </r>
      </text>
    </comment>
    <comment ref="B18" authorId="0" shapeId="0" xr:uid="{00000000-0006-0000-0000-00000A000000}">
      <text>
        <r>
          <rPr>
            <b/>
            <sz val="9"/>
            <color rgb="FF000000"/>
            <rFont val="Calibri"/>
            <family val="2"/>
          </rPr>
          <t>Aswath Damodaran:</t>
        </r>
        <r>
          <rPr>
            <sz val="9"/>
            <color rgb="FF000000"/>
            <rFont val="Calibri"/>
            <family val="2"/>
          </rPr>
          <t xml:space="preserve">
</t>
        </r>
        <r>
          <rPr>
            <sz val="9"/>
            <color rgb="FF000000"/>
            <rFont val="Calibri"/>
            <family val="2"/>
          </rPr>
          <t>If you entered direct input, enter the sales to capital ratio that you want to use. To give you a sense of what this ratio looks like, I have a spreadsheet with industry averages in this workbook.</t>
        </r>
      </text>
    </comment>
    <comment ref="B21" authorId="0" shapeId="0" xr:uid="{00000000-0006-0000-0000-00000B000000}">
      <text>
        <r>
          <rPr>
            <b/>
            <sz val="9"/>
            <color rgb="FF000000"/>
            <rFont val="Calibri"/>
            <family val="2"/>
          </rPr>
          <t>Aswath Damodaran:</t>
        </r>
        <r>
          <rPr>
            <sz val="9"/>
            <color rgb="FF000000"/>
            <rFont val="Calibri"/>
            <family val="2"/>
          </rPr>
          <t xml:space="preserve">
</t>
        </r>
        <r>
          <rPr>
            <sz val="9"/>
            <color rgb="FF000000"/>
            <rFont val="Calibri"/>
            <family val="2"/>
          </rPr>
          <t>This is the profit that Uber is left with from its slice of revenues, after it pays for the expenses associated with generating these revenues. These include the costs of Uber employees in the different cities, the marketing costs (including special deals) that are used to generate new customers, any local fees/costs that have to be paid to the locations (where the services are offered) and general and administrative cost with Uber as a company.</t>
        </r>
      </text>
    </comment>
    <comment ref="B24" authorId="0" shapeId="0" xr:uid="{00000000-0006-0000-0000-00000C000000}">
      <text>
        <r>
          <rPr>
            <b/>
            <sz val="9"/>
            <color rgb="FF000000"/>
            <rFont val="Calibri"/>
            <family val="2"/>
          </rPr>
          <t>Aswath Damodaran:</t>
        </r>
        <r>
          <rPr>
            <sz val="9"/>
            <color rgb="FF000000"/>
            <rFont val="Calibri"/>
            <family val="2"/>
          </rPr>
          <t xml:space="preserve">
</t>
        </r>
        <r>
          <rPr>
            <sz val="9"/>
            <color rgb="FF000000"/>
            <rFont val="Calibri"/>
            <family val="2"/>
          </rPr>
          <t>Since Uber generates revenues outside the US, I have left this below the marginal tax rate for the US.</t>
        </r>
      </text>
    </comment>
    <comment ref="B26" authorId="0" shapeId="0" xr:uid="{00000000-0006-0000-0000-00000D000000}">
      <text>
        <r>
          <rPr>
            <b/>
            <sz val="9"/>
            <color rgb="FF000000"/>
            <rFont val="Calibri"/>
            <family val="2"/>
          </rPr>
          <t>Aswath Damodaran:</t>
        </r>
        <r>
          <rPr>
            <sz val="9"/>
            <color rgb="FF000000"/>
            <rFont val="Calibri"/>
            <family val="2"/>
          </rPr>
          <t xml:space="preserve">
</t>
        </r>
        <r>
          <rPr>
            <sz val="9"/>
            <color rgb="FF000000"/>
            <rFont val="Calibri"/>
            <family val="2"/>
          </rPr>
          <t>This cost of capital is for the operating risk in Uber. One of the risks is that the  company is young and may not survive but don't incorporate that into the cost of capital. Instead, build it into the probability of failure a few cells below this one.</t>
        </r>
      </text>
    </comment>
    <comment ref="B27" authorId="0" shapeId="0" xr:uid="{00000000-0006-0000-0000-00000E000000}">
      <text>
        <r>
          <rPr>
            <b/>
            <sz val="9"/>
            <color rgb="FF000000"/>
            <rFont val="Calibri"/>
            <family val="2"/>
          </rPr>
          <t>Aswath Damodaran:</t>
        </r>
        <r>
          <rPr>
            <sz val="9"/>
            <color rgb="FF000000"/>
            <rFont val="Calibri"/>
            <family val="2"/>
          </rPr>
          <t xml:space="preserve">
</t>
        </r>
        <r>
          <rPr>
            <sz val="9"/>
            <color rgb="FF000000"/>
            <rFont val="Calibri"/>
            <family val="2"/>
          </rPr>
          <t>Again, check out industry averages to get an indication (see worksheet)</t>
        </r>
      </text>
    </comment>
    <comment ref="B28" authorId="0" shapeId="0" xr:uid="{00000000-0006-0000-0000-00000F000000}">
      <text>
        <r>
          <rPr>
            <b/>
            <sz val="9"/>
            <color rgb="FF000000"/>
            <rFont val="Calibri"/>
            <family val="2"/>
          </rPr>
          <t>Aswath Damodaran:</t>
        </r>
        <r>
          <rPr>
            <sz val="9"/>
            <color rgb="FF000000"/>
            <rFont val="Calibri"/>
            <family val="2"/>
          </rPr>
          <t xml:space="preserve">
</t>
        </r>
        <r>
          <rPr>
            <sz val="9"/>
            <color rgb="FF000000"/>
            <rFont val="Calibri"/>
            <family val="2"/>
          </rPr>
          <t>This is the estimate of the cost of capital once the company becomes a mature company. That will not be until ten years from now.</t>
        </r>
      </text>
    </comment>
    <comment ref="B29" authorId="0" shapeId="0" xr:uid="{00000000-0006-0000-0000-000010000000}">
      <text>
        <r>
          <rPr>
            <b/>
            <sz val="9"/>
            <color rgb="FF000000"/>
            <rFont val="Calibri"/>
            <family val="2"/>
          </rPr>
          <t>Aswath Damodaran:</t>
        </r>
        <r>
          <rPr>
            <sz val="9"/>
            <color rgb="FF000000"/>
            <rFont val="Calibri"/>
            <family val="2"/>
          </rPr>
          <t xml:space="preserve">
</t>
        </r>
        <r>
          <rPr>
            <sz val="9"/>
            <color rgb="FF000000"/>
            <rFont val="Calibri"/>
            <family val="2"/>
          </rPr>
          <t>Check out industry averages, if direct input.</t>
        </r>
      </text>
    </comment>
    <comment ref="B30" authorId="0" shapeId="0" xr:uid="{00000000-0006-0000-0000-000011000000}">
      <text>
        <r>
          <rPr>
            <b/>
            <sz val="9"/>
            <color rgb="FF000000"/>
            <rFont val="Calibri"/>
            <family val="2"/>
          </rPr>
          <t>Aswath Damodaran:</t>
        </r>
        <r>
          <rPr>
            <sz val="9"/>
            <color rgb="FF000000"/>
            <rFont val="Calibri"/>
            <family val="2"/>
          </rPr>
          <t xml:space="preserve">
</t>
        </r>
        <r>
          <rPr>
            <sz val="9"/>
            <color rgb="FF000000"/>
            <rFont val="Calibri"/>
            <family val="2"/>
          </rPr>
          <t xml:space="preserve">This will be higher for
</t>
        </r>
        <r>
          <rPr>
            <sz val="9"/>
            <color rgb="FF000000"/>
            <rFont val="Calibri"/>
            <family val="2"/>
          </rPr>
          <t xml:space="preserve">a. Young companies 
</t>
        </r>
        <r>
          <rPr>
            <sz val="9"/>
            <color rgb="FF000000"/>
            <rFont val="Calibri"/>
            <family val="2"/>
          </rPr>
          <t xml:space="preserve">b. Money-losing companies
</t>
        </r>
        <r>
          <rPr>
            <sz val="9"/>
            <color rgb="FF000000"/>
            <rFont val="Calibri"/>
            <family val="2"/>
          </rPr>
          <t xml:space="preserve">c. Companies with limited capital accesss
</t>
        </r>
        <r>
          <rPr>
            <sz val="9"/>
            <color rgb="FF000000"/>
            <rFont val="Calibri"/>
            <family val="2"/>
          </rPr>
          <t xml:space="preserve">d. Companies that have fixed expense commitments (either debt or debt like)
</t>
        </r>
        <r>
          <rPr>
            <sz val="9"/>
            <color rgb="FF000000"/>
            <rFont val="Calibri"/>
            <family val="2"/>
          </rPr>
          <t>Your assessment of the management quality will also go into this input. A serial entrepreneur who has successfully navigated these difficult waters before may be assigned a lower probability of failure.</t>
        </r>
      </text>
    </comment>
    <comment ref="B31" authorId="0" shapeId="0" xr:uid="{00000000-0006-0000-0000-000012000000}">
      <text>
        <r>
          <rPr>
            <b/>
            <sz val="9"/>
            <color rgb="FF000000"/>
            <rFont val="Calibri"/>
            <family val="2"/>
          </rPr>
          <t>Aswath Damodaran:</t>
        </r>
        <r>
          <rPr>
            <sz val="9"/>
            <color rgb="FF000000"/>
            <rFont val="Calibri"/>
            <family val="2"/>
          </rPr>
          <t xml:space="preserve">
</t>
        </r>
        <r>
          <rPr>
            <sz val="9"/>
            <color rgb="FF000000"/>
            <rFont val="Calibri"/>
            <family val="2"/>
          </rPr>
          <t>This is used to set up your company's reinvestment needs after year 10. The higher this number, the less it will hav to reinvest and the higher the terminal value.</t>
        </r>
      </text>
    </comment>
    <comment ref="B33" authorId="0" shapeId="0" xr:uid="{00000000-0006-0000-0000-000013000000}">
      <text>
        <r>
          <rPr>
            <b/>
            <sz val="9"/>
            <color rgb="FF000000"/>
            <rFont val="Calibri"/>
            <family val="2"/>
          </rPr>
          <t>Aswath Damodaran:</t>
        </r>
        <r>
          <rPr>
            <sz val="9"/>
            <color rgb="FF000000"/>
            <rFont val="Calibri"/>
            <family val="2"/>
          </rPr>
          <t xml:space="preserve">
</t>
        </r>
        <r>
          <rPr>
            <sz val="9"/>
            <color rgb="FF000000"/>
            <rFont val="Calibri"/>
            <family val="2"/>
          </rPr>
          <t>This is the risk free rate in whichever currency you chose to do your valuation in.</t>
        </r>
      </text>
    </comment>
    <comment ref="B34" authorId="0" shapeId="0" xr:uid="{00000000-0006-0000-0000-000014000000}">
      <text>
        <r>
          <rPr>
            <b/>
            <sz val="9"/>
            <color rgb="FF000000"/>
            <rFont val="Calibri"/>
            <family val="2"/>
          </rPr>
          <t>Aswath Damodaran:</t>
        </r>
        <r>
          <rPr>
            <sz val="9"/>
            <color rgb="FF000000"/>
            <rFont val="Calibri"/>
            <family val="2"/>
          </rPr>
          <t xml:space="preserve">
</t>
        </r>
        <r>
          <rPr>
            <sz val="9"/>
            <color rgb="FF000000"/>
            <rFont val="Calibri"/>
            <family val="2"/>
          </rPr>
          <t>This is the tax rate of the country where the company is domiciled.</t>
        </r>
      </text>
    </comment>
    <comment ref="B35" authorId="0" shapeId="0" xr:uid="{00000000-0006-0000-0000-000015000000}">
      <text>
        <r>
          <rPr>
            <b/>
            <sz val="9"/>
            <color rgb="FF000000"/>
            <rFont val="Calibri"/>
            <family val="2"/>
          </rPr>
          <t>Aswath Damodaran:</t>
        </r>
        <r>
          <rPr>
            <sz val="9"/>
            <color rgb="FF000000"/>
            <rFont val="Calibri"/>
            <family val="2"/>
          </rPr>
          <t xml:space="preserve">
</t>
        </r>
        <r>
          <rPr>
            <sz val="9"/>
            <color rgb="FF000000"/>
            <rFont val="Calibri"/>
            <family val="2"/>
          </rPr>
          <t>The answer will depend on whether the country of domicile has a global tax model (like the US) where all income eventually gets taxed at the domestic tax rate or a regional tax system and whether you think this company will eventually pay these taxes.</t>
        </r>
      </text>
    </comment>
    <comment ref="B43" authorId="0" shapeId="0" xr:uid="{4740CB79-CB2D-7349-90A3-512156FFE444}">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44" authorId="0" shapeId="0" xr:uid="{45EC330B-1BCC-284F-98BF-3D6BDB29B88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45" authorId="0" shapeId="0" xr:uid="{BD6ADABB-5231-AD42-BA34-1A71060DA0AF}">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46" authorId="0" shapeId="0" xr:uid="{0779788F-B57B-9644-9081-DB62F5A7D95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List>
</comments>
</file>

<file path=xl/sharedStrings.xml><?xml version="1.0" encoding="utf-8"?>
<sst xmlns="http://schemas.openxmlformats.org/spreadsheetml/2006/main" count="589" uniqueCount="375">
  <si>
    <t>When do you expect the company to get to this market share?</t>
  </si>
  <si>
    <t>How much incremental revenue do you expect for every dollar of incremental investment?</t>
  </si>
  <si>
    <t>Overall Market</t>
  </si>
  <si>
    <t>Company's share of that market</t>
  </si>
  <si>
    <t>Profitability</t>
  </si>
  <si>
    <t>Company's current status</t>
  </si>
  <si>
    <t>What is the expected operating margin (in steady state)?</t>
  </si>
  <si>
    <t>What is the effective tax rate on your income?</t>
  </si>
  <si>
    <t>Risk</t>
  </si>
  <si>
    <t>What revenues did your company generate in the most recent twelve months?</t>
  </si>
  <si>
    <t>What operating profits (losses) did your company report in that twelve-month period?</t>
  </si>
  <si>
    <t>Base</t>
  </si>
  <si>
    <t>Annual Revenue</t>
  </si>
  <si>
    <t>Operating margin</t>
  </si>
  <si>
    <t>Operating Income</t>
  </si>
  <si>
    <t xml:space="preserve"> - Taxes</t>
  </si>
  <si>
    <t>After-tax operating income</t>
  </si>
  <si>
    <t xml:space="preserve"> - Reinvestment</t>
  </si>
  <si>
    <t>Free Cash Flow to the Firm</t>
  </si>
  <si>
    <t>Cost of capital</t>
  </si>
  <si>
    <t>General inputs</t>
  </si>
  <si>
    <t>What is the risk free rate?</t>
  </si>
  <si>
    <t>Effective tax rate</t>
  </si>
  <si>
    <t>What is the statutory tax rate for the country in which the company in incorporated?</t>
  </si>
  <si>
    <t>Do you want me to use this as the effective tax rate in steady state?</t>
  </si>
  <si>
    <t>Yes</t>
  </si>
  <si>
    <t>No</t>
  </si>
  <si>
    <t>Cumulated cost of capital =</t>
  </si>
  <si>
    <t>Share of market (gross)</t>
  </si>
  <si>
    <t>Revenues as percent of gross</t>
  </si>
  <si>
    <t>Terminal value</t>
  </si>
  <si>
    <t>Terminal year</t>
  </si>
  <si>
    <t>Imputed Return on capital</t>
  </si>
  <si>
    <t>PV of cash flows during next 10 years =</t>
  </si>
  <si>
    <t>PV of terminal value =</t>
  </si>
  <si>
    <t>Value of operating assets</t>
  </si>
  <si>
    <t>Probability of failure</t>
  </si>
  <si>
    <t>Adjusted value of operating assets</t>
  </si>
  <si>
    <t>What is the probability that the company will fail sometime in the next 10 years?</t>
  </si>
  <si>
    <t>Present value of FCFF</t>
  </si>
  <si>
    <t>Present value of terminal value</t>
  </si>
  <si>
    <t>What return on capital do you see the company generating in steady state?</t>
  </si>
  <si>
    <t>90th percentile (ROIC=25%)</t>
  </si>
  <si>
    <t>75th percentile (ROIC=20%)</t>
  </si>
  <si>
    <t>25th percentile (ROIC = Cost of capital)</t>
  </si>
  <si>
    <t>10th percentile (ROIC =5.00%)</t>
  </si>
  <si>
    <t>Match the best (ROIC=40%)</t>
  </si>
  <si>
    <t>Return on capital (in stable growth)</t>
  </si>
  <si>
    <t>Reinvestment</t>
  </si>
  <si>
    <t>If direct input of incremental investment, enter the number here</t>
  </si>
  <si>
    <t>Sales/Capital Ratio</t>
  </si>
  <si>
    <t>Number of firms</t>
  </si>
  <si>
    <t>Annual Average Revenue growth - Last 5 years</t>
  </si>
  <si>
    <t>Average effective tax rate</t>
  </si>
  <si>
    <t>EV/Sales</t>
  </si>
  <si>
    <t>Advertising</t>
  </si>
  <si>
    <t>Aerospace/Defense</t>
  </si>
  <si>
    <t>Air Transport</t>
  </si>
  <si>
    <t>Apparel</t>
  </si>
  <si>
    <t>Auto &amp; Truck</t>
  </si>
  <si>
    <t>Auto Parts</t>
  </si>
  <si>
    <t>Banks (Regional)</t>
  </si>
  <si>
    <t>Beverage (Alcoholic)</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</si>
  <si>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</si>
  <si>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</si>
  <si>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</si>
  <si>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</si>
  <si>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</si>
  <si>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</si>
  <si>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</si>
  <si>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</si>
  <si>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</si>
  <si>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</si>
  <si>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</si>
  <si>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Diversified</t>
  </si>
  <si>
    <t>Electrical Equipment</t>
  </si>
  <si>
    <t>Electronics (Consumer &amp; Office)</t>
  </si>
  <si>
    <t>Entertainment</t>
  </si>
  <si>
    <t>Environmental &amp; Waste Services</t>
  </si>
  <si>
    <t>Farming/Agriculture</t>
  </si>
  <si>
    <t>Financial Svcs. (Non-bank &amp; Insurance)</t>
  </si>
  <si>
    <t>Food Processing</t>
  </si>
  <si>
    <t>Food Wholesalers</t>
  </si>
  <si>
    <t>Furn/Home Furnishings</t>
  </si>
  <si>
    <t>Healthcare Products</t>
  </si>
  <si>
    <t>Heathcare Information and Technology</t>
  </si>
  <si>
    <t>Homebuilding</t>
  </si>
  <si>
    <t>Hotel/Gaming</t>
  </si>
  <si>
    <t>Household Products</t>
  </si>
  <si>
    <t>Information Services</t>
  </si>
  <si>
    <t>Insurance (General)</t>
  </si>
  <si>
    <t>Insurance (Life)</t>
  </si>
  <si>
    <t>Insurance (Prop/Cas.)</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</si>
  <si>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</si>
  <si>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</si>
  <si>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</si>
  <si>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</si>
  <si>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</si>
  <si>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</si>
  <si>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</si>
  <si>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</si>
  <si>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</si>
  <si>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</si>
  <si>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</si>
  <si>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</si>
  <si>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</si>
  <si>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</si>
  <si>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</si>
  <si>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</si>
  <si>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</si>
  <si>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Retail (Automotive)</t>
  </si>
  <si>
    <t>Retail (Building Supply)</t>
  </si>
  <si>
    <t>Retail (Distributors)</t>
  </si>
  <si>
    <t>Retail (General)</t>
  </si>
  <si>
    <t>Retail (Grocery and Food)</t>
  </si>
  <si>
    <t>Retail (Special Lines)</t>
  </si>
  <si>
    <t>Rubber&amp; Tires</t>
  </si>
  <si>
    <t>Semiconductor</t>
  </si>
  <si>
    <t>Semiconductor Equip</t>
  </si>
  <si>
    <t>Shipbuilding &amp; Marine</t>
  </si>
  <si>
    <t>Shoe</t>
  </si>
  <si>
    <t>Steel</t>
  </si>
  <si>
    <t>Telecom (Wireless)</t>
  </si>
  <si>
    <t>Telecom. Equipment</t>
  </si>
  <si>
    <t>Telecom. Services</t>
  </si>
  <si>
    <t>Tobacco</t>
  </si>
  <si>
    <t>Transportation</t>
  </si>
  <si>
    <t>Trucking</t>
  </si>
  <si>
    <t>Utility (General)</t>
  </si>
  <si>
    <t>Utility (Water)</t>
  </si>
  <si>
    <t>Total Market</t>
  </si>
  <si>
    <t>Sales/Capital</t>
  </si>
  <si>
    <t>Yes or No</t>
  </si>
  <si>
    <t>Network Effects</t>
  </si>
  <si>
    <t>Description</t>
  </si>
  <si>
    <t>Market share of potential market</t>
  </si>
  <si>
    <t>Slice of Gross Receipts</t>
  </si>
  <si>
    <t>C1. No network effects</t>
  </si>
  <si>
    <t>Open competition in every market</t>
  </si>
  <si>
    <t>Restricted entry + Pricing Power</t>
  </si>
  <si>
    <t>Expected market share (based upon your network choice)</t>
  </si>
  <si>
    <t>Based on your potential market choice above, this is the potential market</t>
  </si>
  <si>
    <t>Unrestricted entry + No pricing power</t>
  </si>
  <si>
    <t>Unrestricted entry+ Some Pricing Power</t>
  </si>
  <si>
    <t>Unrestricted entry + Pricing Power</t>
  </si>
  <si>
    <t>Operating Margin</t>
  </si>
  <si>
    <t>E4: Direct input</t>
  </si>
  <si>
    <t>A5: Direct input</t>
  </si>
  <si>
    <t>Enter your number</t>
  </si>
  <si>
    <t>B5. Direct input</t>
  </si>
  <si>
    <t>C6: Direct input</t>
  </si>
  <si>
    <t>D5: Direct input</t>
  </si>
  <si>
    <t>The Assumptions</t>
  </si>
  <si>
    <t>Base year</t>
  </si>
  <si>
    <t>Years 1-5</t>
  </si>
  <si>
    <t>Years 6-10</t>
  </si>
  <si>
    <t>After year 10</t>
  </si>
  <si>
    <t>Story link</t>
  </si>
  <si>
    <t>Gross Market Share</t>
  </si>
  <si>
    <t>Revenue Share</t>
  </si>
  <si>
    <t>NA</t>
  </si>
  <si>
    <t>Risk of failure</t>
  </si>
  <si>
    <t>The Cash Flows</t>
  </si>
  <si>
    <t>Market Share</t>
  </si>
  <si>
    <t>EBIT (1-t)</t>
  </si>
  <si>
    <t>FCFF</t>
  </si>
  <si>
    <t>The Value</t>
  </si>
  <si>
    <t>PV(Terminal value)</t>
  </si>
  <si>
    <t>PV (CF over next 10 years)</t>
  </si>
  <si>
    <t>Value of operating assets =</t>
  </si>
  <si>
    <t>Value in case of failure</t>
  </si>
  <si>
    <t>Adjusted Value for operating assets</t>
  </si>
  <si>
    <t>Loose End Inputs</t>
  </si>
  <si>
    <t>Cash Balance for the company</t>
  </si>
  <si>
    <t xml:space="preserve"> + Cash on hand</t>
  </si>
  <si>
    <t>Value of all assets</t>
  </si>
  <si>
    <t>How quickly will operating margins improve in the next year?</t>
  </si>
  <si>
    <t>Margin Improvement</t>
  </si>
  <si>
    <t>F1. Fast convergence</t>
  </si>
  <si>
    <t>Year target margin reached</t>
  </si>
  <si>
    <t>Target margin reached in year 7</t>
  </si>
  <si>
    <t>Target margin reached in year 4</t>
  </si>
  <si>
    <t>Target margin reached in year 10</t>
  </si>
  <si>
    <t>F2. Moderate convergence</t>
  </si>
  <si>
    <t>F3. Slow convergence</t>
  </si>
  <si>
    <t>F4. Direct Input</t>
  </si>
  <si>
    <t>Year in which target margin reached</t>
  </si>
  <si>
    <t>Number of shares outstanding</t>
  </si>
  <si>
    <t>Value per share</t>
  </si>
  <si>
    <t>Revenues</t>
  </si>
  <si>
    <t xml:space="preserve"> + IPO Proceeds left in business</t>
  </si>
  <si>
    <t xml:space="preserve"> - Debt</t>
  </si>
  <si>
    <t>Value of Equity</t>
  </si>
  <si>
    <t>Debt Outstanding</t>
  </si>
  <si>
    <t xml:space="preserve"> + IPO Proceeds</t>
  </si>
  <si>
    <t>Value of equity</t>
  </si>
  <si>
    <t>Industry Name</t>
  </si>
  <si>
    <t>Pre-tax Operating Margin (Unadjusted)</t>
  </si>
  <si>
    <t>After-tax ROC</t>
  </si>
  <si>
    <t>Unlevered Beta</t>
  </si>
  <si>
    <t>Equity (Levered) Beta</t>
  </si>
  <si>
    <t>Cost of equity</t>
  </si>
  <si>
    <t>Std deviation in stock prices</t>
  </si>
  <si>
    <t>Pre-tax cost of debt</t>
  </si>
  <si>
    <t>Market Debt/Capital</t>
  </si>
  <si>
    <t>EV/EBITDA</t>
  </si>
  <si>
    <t>EV/EBIT</t>
  </si>
  <si>
    <t>Price/Book</t>
  </si>
  <si>
    <t>Trailing PE</t>
  </si>
  <si>
    <t>Non-cash WC as % of Revenues</t>
  </si>
  <si>
    <t>Cap Ex as % of Revenues</t>
  </si>
  <si>
    <t>Net Cap Ex as % of Revenues</t>
  </si>
  <si>
    <t>Reinvestment Rate</t>
  </si>
  <si>
    <t>ROE</t>
  </si>
  <si>
    <t>Dividend Payout Ratio</t>
  </si>
  <si>
    <t>Equity Reinvestment Rate</t>
  </si>
  <si>
    <t>Bank (Money Center)</t>
  </si>
  <si>
    <t>Beverage (Soft)</t>
  </si>
  <si>
    <t>Construction Supplies</t>
  </si>
  <si>
    <t>Drugs (Biotechnology)</t>
  </si>
  <si>
    <t>Drugs (Pharmaceutical)</t>
  </si>
  <si>
    <t>Education</t>
  </si>
  <si>
    <t>Electronics (General)</t>
  </si>
  <si>
    <t>Engineering/Construction</t>
  </si>
  <si>
    <t>Green &amp; Renewable Energy</t>
  </si>
  <si>
    <t>Healthcare Support Services</t>
  </si>
  <si>
    <t>Hospitals/Healthcare Facilities</t>
  </si>
  <si>
    <t>Investments &amp; Asset Management</t>
  </si>
  <si>
    <t>Publishing &amp; Newspapers</t>
  </si>
  <si>
    <t>Restaurant/Dining</t>
  </si>
  <si>
    <t>Retail (Online)</t>
  </si>
  <si>
    <t>Software (Entertainment)</t>
  </si>
  <si>
    <t>Software (Internet)</t>
  </si>
  <si>
    <t>Software (System &amp; Application)</t>
  </si>
  <si>
    <t>Transportation (Railroads)</t>
  </si>
  <si>
    <t>Total Market (without financials)</t>
  </si>
  <si>
    <t>Sales to Capital Ratio</t>
  </si>
  <si>
    <t>Tech company median</t>
  </si>
  <si>
    <t>Capital intensive business median</t>
  </si>
  <si>
    <t>G1. Minimal capital needs, no acquisitions (10.00)</t>
  </si>
  <si>
    <t>G2. Minimal capital needs, small acquisitions (5.00)</t>
  </si>
  <si>
    <t>G5. Tech company median (2.00)</t>
  </si>
  <si>
    <t>G6. Capital intensive company median (1.50)</t>
  </si>
  <si>
    <t>G7. Direct input</t>
  </si>
  <si>
    <t>IPO Proceeds retained by firm</t>
  </si>
  <si>
    <t>What portion of the gross billings will accrue to the company as revenues?</t>
  </si>
  <si>
    <t>NOL carried forward</t>
  </si>
  <si>
    <t>NOL at start of year</t>
  </si>
  <si>
    <t>What was the total gross order value by the company in the most recent twelve months?</t>
  </si>
  <si>
    <t>What was the size of the Indian food delivery market in most recent twelve months?</t>
  </si>
  <si>
    <t>Food delivery ($15 billion approximately)</t>
  </si>
  <si>
    <t>A3. Indian food delivery, high growth</t>
  </si>
  <si>
    <t>A4. Indian food &amp; grocery delivery market</t>
  </si>
  <si>
    <t>What is the potential market for Zomato?</t>
  </si>
  <si>
    <t>C2. Weak network effects</t>
  </si>
  <si>
    <t>C3. Moderate network effects</t>
  </si>
  <si>
    <t>C4. Strong network effects</t>
  </si>
  <si>
    <t>C5. Dominant network effects</t>
  </si>
  <si>
    <t>Four to five winners in the market</t>
  </si>
  <si>
    <t>Two winners in the market</t>
  </si>
  <si>
    <t>What additional markets will Zomato find success in?</t>
  </si>
  <si>
    <t>Added revenue in base year (from additional market)</t>
  </si>
  <si>
    <t>How strong will Zomato's network effect be in the potential market?</t>
  </si>
  <si>
    <t>How strong and sustainable are Zomato's competitive advantages/pricing power</t>
  </si>
  <si>
    <t>Operating Margins</t>
  </si>
  <si>
    <t>50th percentile (ROIC=12%)</t>
  </si>
  <si>
    <t>What INR cost of capital would you assign to established players in this business?</t>
  </si>
  <si>
    <t>What INR cost of capital would you assign to this company? (Indian company percentiles)</t>
  </si>
  <si>
    <t>A2. Indian food delivery, solid growth</t>
  </si>
  <si>
    <t>Revenue Slice</t>
  </si>
  <si>
    <t>D1. Cut-throat competition</t>
  </si>
  <si>
    <t>D3. Status Quo</t>
  </si>
  <si>
    <t>D2. Strong competition</t>
  </si>
  <si>
    <t>Cost of Capital</t>
  </si>
  <si>
    <t>Based on your choice, your cost of capital in high growth will be</t>
  </si>
  <si>
    <t>Based on your choice, your cost of capital in stable growth will be</t>
  </si>
  <si>
    <t>H1. Lowest decile of Indian companies</t>
  </si>
  <si>
    <t>H2. 25th Percentile of Indian companies</t>
  </si>
  <si>
    <t>H3. Median for Indian companies</t>
  </si>
  <si>
    <t>H4. 75th Percentile of Indian companies</t>
  </si>
  <si>
    <t>H5. 90th Percentile of Indian companies</t>
  </si>
  <si>
    <t>H6. Direct Input</t>
  </si>
  <si>
    <t>In Indian rupees (with 4.25% riskfree rate)</t>
  </si>
  <si>
    <t>Zomato's potential market is</t>
  </si>
  <si>
    <t>Zomato's effects on growth in the potential market will be</t>
  </si>
  <si>
    <t xml:space="preserve">Within this market, Zomato will have </t>
  </si>
  <si>
    <t>Zomato' reinvestment for growth will be</t>
  </si>
  <si>
    <t>Zomato's chance of failure (not making it) is</t>
  </si>
  <si>
    <t>Zomato's slice of order value will be</t>
  </si>
  <si>
    <t>What pricing power will Zomato have with restaurants/delivery personnel?</t>
  </si>
  <si>
    <t>Zomato's pricing power, determining its slice of gross order value will be</t>
  </si>
  <si>
    <t>G3. Small investment in technology, small acquisitions (4.00)</t>
  </si>
  <si>
    <t>G4. Big investment in technology, Large acquisitions (2.50)</t>
  </si>
  <si>
    <t>Expected offer price/share</t>
  </si>
  <si>
    <t>Total Addressable Market</t>
  </si>
  <si>
    <t>Your narrative for Zomato</t>
  </si>
  <si>
    <t>And your resulting valuation of Zomato is</t>
  </si>
  <si>
    <t>Market dominance</t>
  </si>
  <si>
    <t>E1: Strong economies of scale, no or limited competition</t>
  </si>
  <si>
    <t>E2: Strong economies of scale, serious competition</t>
  </si>
  <si>
    <t>E4: Weak economies of scale, serious competition</t>
  </si>
  <si>
    <t>E3:  Weak economies of scale, no or limited competition</t>
  </si>
  <si>
    <t>Strong pricing power + scaling benefits</t>
  </si>
  <si>
    <t>Weak pricing power + scaling benefits</t>
  </si>
  <si>
    <t>Strong pricing power + no scaling benefits</t>
  </si>
  <si>
    <t>Weak pricing power + no scaling benefits</t>
  </si>
  <si>
    <t>CAGR</t>
  </si>
  <si>
    <t>B1. Constant Growth Rate</t>
  </si>
  <si>
    <t>Growth Rate factor (yrs 1-5)</t>
  </si>
  <si>
    <t>B2. Moderately higher growth rate in first 5 years</t>
  </si>
  <si>
    <t>Same CAGR every year</t>
  </si>
  <si>
    <t>1.5 times CAGR for years 1-5</t>
  </si>
  <si>
    <t>2 times CAGR for years 1-5</t>
  </si>
  <si>
    <t>B3. Strongly higher growth rate in first 5 years</t>
  </si>
  <si>
    <t>3 times CAGR for years 1-5</t>
  </si>
  <si>
    <t>B4. Exponentially higher growth rate in first 5 years</t>
  </si>
  <si>
    <t>D4. Duopoly/Monopoly Power</t>
  </si>
  <si>
    <t>Value of equity =</t>
  </si>
  <si>
    <t>Effortless, capital-less growth</t>
  </si>
  <si>
    <t>Very efficient growth</t>
  </si>
  <si>
    <t>Efficient growth</t>
  </si>
  <si>
    <t>Status quo</t>
  </si>
  <si>
    <t>Number of options outstanding =</t>
  </si>
  <si>
    <t>Average strike price =</t>
  </si>
  <si>
    <t>Average maturity =</t>
  </si>
  <si>
    <t>Standard deviation on stock price =</t>
  </si>
  <si>
    <t xml:space="preserve"> -&gt;</t>
  </si>
  <si>
    <t xml:space="preserve"> - &gt;</t>
  </si>
  <si>
    <t>Sales to capital ratio stays stable</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</si>
  <si>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</si>
  <si>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</si>
  <si>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</si>
  <si>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</si>
  <si>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</si>
  <si>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</si>
  <si>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</si>
  <si>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</si>
  <si>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</si>
  <si>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</si>
  <si>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</si>
  <si>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</si>
  <si>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</si>
  <si>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</si>
  <si>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</si>
  <si>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</si>
  <si>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</si>
  <si>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</si>
  <si>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</si>
  <si>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</si>
  <si>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</si>
  <si>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</si>
  <si>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</si>
  <si>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</si>
  <si>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</si>
  <si>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</si>
  <si>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</si>
  <si>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</si>
  <si>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</si>
  <si>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 xml:space="preserve"> - Value of options outstanding</t>
  </si>
  <si>
    <t xml:space="preserve"> - Value of options</t>
  </si>
  <si>
    <t xml:space="preserve"> / Number of shares</t>
  </si>
  <si>
    <t>Pre-tax Operating Margin (Lease &amp; R&amp;D adjusted)</t>
  </si>
  <si>
    <t>Food delivery ($25 billion approximately)</t>
  </si>
  <si>
    <t>Food delivery ($37.5 billion approximately)</t>
  </si>
  <si>
    <t>Food  + Grocery ($60 billion approximately)</t>
  </si>
  <si>
    <t>Growth Scaling (over time)</t>
  </si>
  <si>
    <t>Zomato's operating risk will result in an initial cost of capital that puts it in</t>
  </si>
  <si>
    <t>Zomato</t>
  </si>
  <si>
    <t>A Bet on India (and Indian eating habits)</t>
  </si>
  <si>
    <t>Three winners in the market</t>
  </si>
  <si>
    <t>A1. Indian food delivery, anemic growth</t>
  </si>
  <si>
    <t>Imputed multiple of current revenues (EV/ Sales) =</t>
  </si>
  <si>
    <t>Cost of Capital (in rupees)</t>
  </si>
  <si>
    <t>Expected Market Size (in ₹ millions)</t>
  </si>
  <si>
    <t>Number of shares outstanding (pre-IPO issuance)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</si>
</sst>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quot;$&quot;#,##0.00_);[Red]\(&quot;$&quot;#,##0.00\)"/>
    <numFmt numFmtId="165" formatCode="_(&quot;$&quot;* #,##0.00_);_(&quot;$&quot;* \(#,##0.00\);_(&quot;$&quot;* &quot;-&quot;??_);_(@_)"/>
    <numFmt numFmtId="166" formatCode="_(* #,##0.00_);_(* \(#,##0.00\);_(* &quot;-&quot;??_);_(@_)"/>
    <numFmt numFmtId="167" formatCode="&quot;$&quot;#,##0.00"/>
    <numFmt numFmtId="168" formatCode="0.0000"/>
    <numFmt numFmtId="169" formatCode="&quot;$&quot;#,##0"/>
    <numFmt numFmtId="170" formatCode="_(&quot;$&quot;* #,##0_);_(&quot;$&quot;* \(#,##0\);_(&quot;$&quot;* &quot;-&quot;??_);_(@_)"/>
    <numFmt numFmtId="171" formatCode="[$₹-4009]\ #,##0.00"/>
    <numFmt numFmtId="172" formatCode="0.0000%"/>
    <numFmt numFmtId="173" formatCode="[$₹-4009]\ #,##0"/>
    <numFmt numFmtId="174" formatCode="#,##0.0000"/>
  </numFmts>
  <fonts count="26">
    <font>
      <sz val="12"/>
      <color theme="1"/>
      <name val="Calibri"/>
      <family val="2"/>
      <scheme val="minor"/>
    </font>
    <font>
      <sz val="12"/>
      <name val="Times"/>
      <family val="1"/>
    </font>
    <font>
      <sz val="12"/>
      <color theme="1"/>
      <name val="Calibri"/>
      <family val="2"/>
      <scheme val="minor"/>
    </font>
    <font>
      <b/>
      <sz val="12"/>
      <color theme="1"/>
      <name val="Calibri"/>
      <family val="2"/>
      <scheme val="minor"/>
    </font>
    <font>
      <sz val="12"/>
      <color rgb="FFFF0000"/>
      <name val="Calibri"/>
      <family val="2"/>
      <scheme val="minor"/>
    </font>
    <font>
      <sz val="12"/>
      <name val="Calibri"/>
      <family val="2"/>
      <scheme val="minor"/>
    </font>
    <font>
      <i/>
      <sz val="12"/>
      <color theme="1"/>
      <name val="Calibri"/>
      <family val="2"/>
      <scheme val="minor"/>
    </font>
    <font>
      <sz val="12"/>
      <color theme="1"/>
      <name val="Times"/>
      <family val="1"/>
    </font>
    <font>
      <sz val="12"/>
      <color rgb="FF000000"/>
      <name val="Calibri"/>
      <family val="2"/>
      <scheme val="minor"/>
    </font>
    <font>
      <b/>
      <i/>
      <sz val="12"/>
      <color theme="1"/>
      <name val="Calibri"/>
      <family val="2"/>
      <scheme val="minor"/>
    </font>
    <font>
      <b/>
      <sz val="14"/>
      <color theme="1"/>
      <name val="Calibri"/>
      <family val="2"/>
      <scheme val="minor"/>
    </font>
    <font>
      <b/>
      <sz val="9"/>
      <color rgb="FF000000"/>
      <name val="Calibri"/>
      <family val="2"/>
    </font>
    <font>
      <sz val="9"/>
      <color rgb="FF000000"/>
      <name val="Calibri"/>
      <family val="2"/>
    </font>
    <font>
      <sz val="10"/>
      <name val="Helv"/>
    </font>
    <font>
      <b/>
      <sz val="9"/>
      <color rgb="FF000000"/>
      <name val="Geneva"/>
      <family val="2"/>
      <charset val="1"/>
    </font>
    <font>
      <sz val="9"/>
      <color rgb="FF000000"/>
      <name val="Geneva"/>
      <family val="2"/>
      <charset val="1"/>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i/>
      <sz val="9"/>
      <name val="Geneva"/>
      <family val="2"/>
    </font>
    <font>
      <sz val="10"/>
      <name val="Arial"/>
      <family val="2"/>
    </font>
    <font>
      <sz val="8"/>
      <name val="Arial"/>
      <family val="2"/>
    </font>
  </fonts>
  <fills count="6">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rgb="FF92D050"/>
        <bgColor indexed="64"/>
      </patternFill>
    </fill>
    <fill>
      <patternFill patternType="solid">
        <fgColor indexed="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cellStyleXfs>
  <cellXfs count="164">
    <xf numFmtId="0" fontId="0" fillId="0" borderId="0" xfId="0"/>
    <xf numFmtId="0" fontId="3" fillId="0" borderId="0" xfId="0" applyFont="1"/>
    <xf numFmtId="0" fontId="0" fillId="0" borderId="1" xfId="0" applyBorder="1"/>
    <xf numFmtId="0" fontId="0" fillId="0" borderId="0" xfId="0" applyAlignment="1">
      <alignment horizontal="center"/>
    </xf>
    <xf numFmtId="0" fontId="0" fillId="2" borderId="1" xfId="0" applyFill="1" applyBorder="1" applyAlignment="1">
      <alignment horizontal="center"/>
    </xf>
    <xf numFmtId="9" fontId="0" fillId="2" borderId="1" xfId="0" applyNumberFormat="1" applyFill="1" applyBorder="1" applyAlignment="1">
      <alignment horizontal="center"/>
    </xf>
    <xf numFmtId="2" fontId="0" fillId="2" borderId="1" xfId="0" applyNumberFormat="1" applyFill="1" applyBorder="1" applyAlignment="1">
      <alignment horizontal="center"/>
    </xf>
    <xf numFmtId="10" fontId="0" fillId="2" borderId="1" xfId="0" applyNumberFormat="1" applyFill="1" applyBorder="1" applyAlignment="1">
      <alignment horizontal="center"/>
    </xf>
    <xf numFmtId="167" fontId="0" fillId="2" borderId="1" xfId="0" applyNumberFormat="1" applyFill="1" applyBorder="1" applyAlignment="1">
      <alignment horizontal="center"/>
    </xf>
    <xf numFmtId="167" fontId="0" fillId="0" borderId="0" xfId="0" applyNumberFormat="1" applyAlignment="1">
      <alignment horizontal="center"/>
    </xf>
    <xf numFmtId="167" fontId="0" fillId="0" borderId="0" xfId="0" applyNumberFormat="1"/>
    <xf numFmtId="0" fontId="3" fillId="0" borderId="1" xfId="0" applyFont="1" applyBorder="1"/>
    <xf numFmtId="167" fontId="0" fillId="3" borderId="1" xfId="0" applyNumberFormat="1" applyFill="1" applyBorder="1" applyAlignment="1">
      <alignment horizontal="left"/>
    </xf>
    <xf numFmtId="1" fontId="0" fillId="3" borderId="1" xfId="0" applyNumberFormat="1" applyFill="1" applyBorder="1" applyAlignment="1">
      <alignment horizontal="left"/>
    </xf>
    <xf numFmtId="9" fontId="0" fillId="3" borderId="1" xfId="0" applyNumberFormat="1" applyFill="1" applyBorder="1" applyAlignment="1">
      <alignment horizontal="left"/>
    </xf>
    <xf numFmtId="0" fontId="3" fillId="0" borderId="1" xfId="0" applyFont="1" applyBorder="1" applyAlignment="1">
      <alignment horizontal="center"/>
    </xf>
    <xf numFmtId="1" fontId="2" fillId="2" borderId="1" xfId="2" applyNumberFormat="1" applyFont="1" applyFill="1" applyBorder="1" applyAlignment="1">
      <alignment horizontal="center"/>
    </xf>
    <xf numFmtId="0" fontId="3" fillId="0" borderId="2" xfId="0" applyFont="1" applyBorder="1"/>
    <xf numFmtId="0" fontId="0" fillId="0" borderId="3" xfId="0" applyBorder="1"/>
    <xf numFmtId="0" fontId="6" fillId="0" borderId="4" xfId="0" applyFont="1" applyBorder="1" applyAlignment="1">
      <alignment horizontal="center"/>
    </xf>
    <xf numFmtId="16" fontId="6" fillId="0" borderId="4" xfId="0" applyNumberFormat="1" applyFont="1" applyBorder="1" applyAlignment="1">
      <alignment horizontal="center"/>
    </xf>
    <xf numFmtId="0" fontId="0" fillId="0" borderId="5" xfId="0" applyBorder="1"/>
    <xf numFmtId="10" fontId="2" fillId="0" borderId="1" xfId="2" applyNumberFormat="1" applyFont="1" applyBorder="1" applyAlignment="1">
      <alignment horizontal="center"/>
    </xf>
    <xf numFmtId="9" fontId="0" fillId="0" borderId="1" xfId="0" applyNumberFormat="1" applyBorder="1" applyAlignment="1">
      <alignment horizontal="center"/>
    </xf>
    <xf numFmtId="10" fontId="0" fillId="0" borderId="1" xfId="0" applyNumberFormat="1" applyBorder="1" applyAlignment="1">
      <alignment horizontal="center"/>
    </xf>
    <xf numFmtId="0" fontId="0" fillId="0" borderId="6" xfId="0" applyBorder="1"/>
    <xf numFmtId="0" fontId="6" fillId="0" borderId="3" xfId="0" applyFont="1" applyBorder="1" applyAlignment="1">
      <alignment horizontal="center"/>
    </xf>
    <xf numFmtId="0" fontId="6" fillId="0" borderId="7" xfId="0" applyFont="1" applyBorder="1" applyAlignment="1">
      <alignment horizontal="center"/>
    </xf>
    <xf numFmtId="0" fontId="0" fillId="0" borderId="5" xfId="0" applyBorder="1" applyAlignment="1">
      <alignment horizontal="center"/>
    </xf>
    <xf numFmtId="170" fontId="2" fillId="0" borderId="1" xfId="1" applyNumberFormat="1" applyFont="1" applyBorder="1" applyAlignment="1">
      <alignment horizontal="center"/>
    </xf>
    <xf numFmtId="170" fontId="2" fillId="0" borderId="8" xfId="1" applyNumberFormat="1" applyFont="1" applyBorder="1" applyAlignment="1">
      <alignment horizontal="center"/>
    </xf>
    <xf numFmtId="0" fontId="0" fillId="0" borderId="9" xfId="0" applyBorder="1" applyAlignment="1">
      <alignment horizontal="center"/>
    </xf>
    <xf numFmtId="170" fontId="2" fillId="0" borderId="10" xfId="1" applyNumberFormat="1" applyFont="1" applyBorder="1" applyAlignment="1">
      <alignment horizontal="center"/>
    </xf>
    <xf numFmtId="10" fontId="2" fillId="0" borderId="10" xfId="2" applyNumberFormat="1" applyFont="1" applyBorder="1" applyAlignment="1">
      <alignment horizontal="center"/>
    </xf>
    <xf numFmtId="170" fontId="2" fillId="0" borderId="10" xfId="1" applyNumberFormat="1" applyFont="1" applyFill="1" applyBorder="1" applyAlignment="1">
      <alignment horizontal="center"/>
    </xf>
    <xf numFmtId="170" fontId="2" fillId="0" borderId="11" xfId="1" applyNumberFormat="1" applyFont="1" applyFill="1" applyBorder="1" applyAlignment="1">
      <alignment horizontal="center"/>
    </xf>
    <xf numFmtId="0" fontId="0" fillId="0" borderId="12" xfId="0" applyBorder="1"/>
    <xf numFmtId="0" fontId="0" fillId="0" borderId="13" xfId="0" applyBorder="1"/>
    <xf numFmtId="0" fontId="0" fillId="0" borderId="14" xfId="0" applyBorder="1"/>
    <xf numFmtId="9" fontId="1" fillId="0" borderId="1" xfId="2" applyFont="1" applyFill="1" applyBorder="1"/>
    <xf numFmtId="0" fontId="0" fillId="0" borderId="0" xfId="0" applyAlignment="1">
      <alignment horizontal="left"/>
    </xf>
    <xf numFmtId="169" fontId="0" fillId="0" borderId="1" xfId="0" applyNumberFormat="1" applyBorder="1" applyAlignment="1">
      <alignment horizontal="center"/>
    </xf>
    <xf numFmtId="0" fontId="0" fillId="0" borderId="1" xfId="0" applyBorder="1" applyAlignment="1">
      <alignment horizontal="center"/>
    </xf>
    <xf numFmtId="0" fontId="0" fillId="4" borderId="0" xfId="0" applyFill="1" applyAlignment="1">
      <alignment horizontal="center"/>
    </xf>
    <xf numFmtId="10" fontId="0" fillId="4" borderId="1" xfId="0" applyNumberFormat="1" applyFill="1" applyBorder="1" applyAlignment="1">
      <alignment horizontal="center"/>
    </xf>
    <xf numFmtId="1" fontId="2" fillId="4" borderId="1" xfId="2" applyNumberFormat="1" applyFont="1" applyFill="1" applyBorder="1" applyAlignment="1">
      <alignment horizontal="center"/>
    </xf>
    <xf numFmtId="167" fontId="0" fillId="0" borderId="1" xfId="0" applyNumberFormat="1" applyBorder="1" applyAlignment="1">
      <alignment horizontal="center"/>
    </xf>
    <xf numFmtId="10" fontId="8" fillId="0" borderId="1" xfId="2" applyNumberFormat="1" applyFont="1" applyBorder="1" applyAlignment="1">
      <alignment horizontal="center"/>
    </xf>
    <xf numFmtId="2" fontId="0" fillId="0" borderId="1" xfId="0" applyNumberFormat="1" applyBorder="1" applyAlignment="1">
      <alignment horizontal="center"/>
    </xf>
    <xf numFmtId="168" fontId="0" fillId="0" borderId="1" xfId="0" applyNumberFormat="1" applyBorder="1" applyAlignment="1">
      <alignment horizontal="center"/>
    </xf>
    <xf numFmtId="10" fontId="2" fillId="0" borderId="16" xfId="2" applyNumberFormat="1" applyFont="1" applyBorder="1" applyAlignment="1">
      <alignment horizontal="center"/>
    </xf>
    <xf numFmtId="0" fontId="0" fillId="0" borderId="29" xfId="0" applyBorder="1" applyAlignment="1">
      <alignment horizontal="left"/>
    </xf>
    <xf numFmtId="0" fontId="0" fillId="0" borderId="29" xfId="0" applyBorder="1"/>
    <xf numFmtId="0" fontId="0" fillId="0" borderId="30" xfId="0" applyBorder="1"/>
    <xf numFmtId="165" fontId="0" fillId="0" borderId="1" xfId="1" applyFont="1" applyBorder="1" applyAlignment="1">
      <alignment horizontal="center"/>
    </xf>
    <xf numFmtId="171" fontId="0" fillId="0" borderId="0" xfId="0" applyNumberFormat="1" applyAlignment="1">
      <alignment horizontal="center"/>
    </xf>
    <xf numFmtId="171" fontId="0" fillId="2" borderId="1" xfId="0" applyNumberFormat="1" applyFill="1" applyBorder="1" applyAlignment="1">
      <alignment horizontal="center"/>
    </xf>
    <xf numFmtId="171" fontId="0" fillId="4" borderId="1" xfId="0" applyNumberFormat="1" applyFill="1" applyBorder="1" applyAlignment="1">
      <alignment horizontal="center"/>
    </xf>
    <xf numFmtId="172" fontId="0" fillId="0" borderId="0" xfId="0" applyNumberFormat="1"/>
    <xf numFmtId="0" fontId="3" fillId="0" borderId="22" xfId="0" applyFont="1" applyBorder="1"/>
    <xf numFmtId="171" fontId="0" fillId="0" borderId="1" xfId="0" applyNumberFormat="1" applyBorder="1" applyAlignment="1">
      <alignment horizontal="center"/>
    </xf>
    <xf numFmtId="173" fontId="0" fillId="0" borderId="1" xfId="0" applyNumberFormat="1" applyBorder="1" applyAlignment="1">
      <alignment horizontal="center"/>
    </xf>
    <xf numFmtId="173" fontId="0" fillId="0" borderId="0" xfId="0" applyNumberFormat="1" applyAlignment="1">
      <alignment horizontal="center"/>
    </xf>
    <xf numFmtId="2" fontId="0" fillId="4" borderId="1" xfId="0" applyNumberFormat="1" applyFill="1" applyBorder="1" applyAlignment="1">
      <alignment horizontal="center"/>
    </xf>
    <xf numFmtId="10" fontId="0" fillId="0" borderId="1" xfId="2" applyNumberFormat="1" applyFont="1" applyBorder="1" applyAlignment="1">
      <alignment horizontal="center"/>
    </xf>
    <xf numFmtId="10" fontId="0" fillId="4" borderId="1" xfId="2" applyNumberFormat="1" applyFont="1" applyFill="1" applyBorder="1" applyAlignment="1">
      <alignment horizontal="center"/>
    </xf>
    <xf numFmtId="0" fontId="3" fillId="0" borderId="2" xfId="0" applyFont="1" applyBorder="1" applyAlignment="1">
      <alignment horizontal="center"/>
    </xf>
    <xf numFmtId="0" fontId="3" fillId="0" borderId="0" xfId="0" applyFont="1" applyAlignment="1">
      <alignment horizontal="center"/>
    </xf>
    <xf numFmtId="10" fontId="0" fillId="2" borderId="1" xfId="2" applyNumberFormat="1" applyFont="1" applyFill="1" applyBorder="1" applyAlignment="1">
      <alignment horizontal="center"/>
    </xf>
    <xf numFmtId="0" fontId="0" fillId="0" borderId="9" xfId="0" applyBorder="1"/>
    <xf numFmtId="0" fontId="13" fillId="0" borderId="0" xfId="0" applyFont="1"/>
    <xf numFmtId="2" fontId="13" fillId="2" borderId="1" xfId="0" applyNumberFormat="1" applyFont="1" applyFill="1" applyBorder="1" applyAlignment="1">
      <alignment horizontal="center"/>
    </xf>
    <xf numFmtId="10" fontId="13" fillId="2" borderId="1" xfId="0" applyNumberFormat="1" applyFont="1" applyFill="1" applyBorder="1" applyAlignment="1">
      <alignment horizontal="center"/>
    </xf>
    <xf numFmtId="171" fontId="13" fillId="2" borderId="1" xfId="0" applyNumberFormat="1" applyFont="1" applyFill="1" applyBorder="1" applyAlignment="1">
      <alignment horizontal="center"/>
    </xf>
    <xf numFmtId="0" fontId="16" fillId="0" borderId="0" xfId="0" applyFont="1"/>
    <xf numFmtId="0" fontId="17" fillId="0" borderId="0" xfId="0" applyFont="1"/>
    <xf numFmtId="0" fontId="18" fillId="0" borderId="0" xfId="0" applyFont="1"/>
    <xf numFmtId="165" fontId="18" fillId="5" borderId="1" xfId="0" applyNumberFormat="1" applyFont="1" applyFill="1" applyBorder="1"/>
    <xf numFmtId="165" fontId="18" fillId="5" borderId="1" xfId="1" applyFont="1" applyFill="1" applyBorder="1"/>
    <xf numFmtId="2" fontId="18" fillId="5" borderId="1" xfId="0" applyNumberFormat="1" applyFont="1" applyFill="1" applyBorder="1"/>
    <xf numFmtId="10" fontId="18" fillId="5" borderId="1" xfId="2" applyNumberFormat="1" applyFont="1" applyFill="1" applyBorder="1"/>
    <xf numFmtId="10" fontId="18" fillId="5" borderId="1" xfId="0" applyNumberFormat="1" applyFont="1" applyFill="1" applyBorder="1"/>
    <xf numFmtId="4" fontId="18" fillId="5" borderId="1" xfId="0" applyNumberFormat="1" applyFont="1" applyFill="1" applyBorder="1"/>
    <xf numFmtId="0" fontId="19" fillId="0" borderId="0" xfId="0" applyFont="1"/>
    <xf numFmtId="0" fontId="20" fillId="0" borderId="0" xfId="0" applyFont="1"/>
    <xf numFmtId="0" fontId="21" fillId="0" borderId="0" xfId="0" applyFont="1"/>
    <xf numFmtId="0" fontId="22" fillId="0" borderId="0" xfId="0" applyFont="1"/>
    <xf numFmtId="0" fontId="22" fillId="0" borderId="1" xfId="0" applyFont="1" applyBorder="1"/>
    <xf numFmtId="0" fontId="18" fillId="0" borderId="1" xfId="0" applyFont="1" applyBorder="1"/>
    <xf numFmtId="3" fontId="18" fillId="0" borderId="1" xfId="0" applyNumberFormat="1" applyFont="1" applyBorder="1"/>
    <xf numFmtId="10" fontId="22" fillId="0" borderId="1" xfId="0" applyNumberFormat="1" applyFont="1" applyBorder="1"/>
    <xf numFmtId="174" fontId="22" fillId="0" borderId="1" xfId="3" applyNumberFormat="1" applyFont="1" applyBorder="1"/>
    <xf numFmtId="10" fontId="18" fillId="0" borderId="1" xfId="0" applyNumberFormat="1" applyFont="1" applyBorder="1"/>
    <xf numFmtId="165" fontId="18" fillId="0" borderId="16" xfId="1" applyFont="1" applyBorder="1"/>
    <xf numFmtId="164" fontId="18" fillId="0" borderId="16" xfId="0" applyNumberFormat="1" applyFont="1" applyBorder="1"/>
    <xf numFmtId="0" fontId="0" fillId="0" borderId="32"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0" fillId="0" borderId="30" xfId="0" applyBorder="1" applyAlignment="1">
      <alignment horizontal="left"/>
    </xf>
    <xf numFmtId="171" fontId="1" fillId="0" borderId="4" xfId="1" applyNumberFormat="1" applyFont="1" applyFill="1" applyBorder="1"/>
    <xf numFmtId="171" fontId="1" fillId="0" borderId="1" xfId="0" applyNumberFormat="1" applyFont="1" applyBorder="1"/>
    <xf numFmtId="171" fontId="1" fillId="0" borderId="1" xfId="1" applyNumberFormat="1" applyFont="1" applyFill="1" applyBorder="1"/>
    <xf numFmtId="171" fontId="7" fillId="0" borderId="15" xfId="1" applyNumberFormat="1" applyFont="1" applyFill="1" applyBorder="1"/>
    <xf numFmtId="171" fontId="2" fillId="0" borderId="1" xfId="1" applyNumberFormat="1" applyFont="1" applyBorder="1"/>
    <xf numFmtId="171" fontId="2" fillId="0" borderId="15" xfId="1" applyNumberFormat="1" applyFont="1" applyBorder="1"/>
    <xf numFmtId="171" fontId="4" fillId="0" borderId="15" xfId="1" applyNumberFormat="1" applyFont="1" applyBorder="1"/>
    <xf numFmtId="171" fontId="4" fillId="0" borderId="10" xfId="1" applyNumberFormat="1" applyFont="1" applyBorder="1"/>
    <xf numFmtId="2" fontId="4" fillId="0" borderId="15" xfId="1" applyNumberFormat="1" applyFont="1" applyBorder="1"/>
    <xf numFmtId="0" fontId="23" fillId="0" borderId="1" xfId="0" applyFont="1" applyBorder="1" applyAlignment="1">
      <alignment wrapText="1"/>
    </xf>
    <xf numFmtId="0" fontId="23" fillId="0" borderId="1" xfId="0" applyFont="1" applyBorder="1" applyAlignment="1">
      <alignment horizontal="center" wrapText="1"/>
    </xf>
    <xf numFmtId="10" fontId="23" fillId="0" borderId="1" xfId="0" applyNumberFormat="1" applyFont="1" applyBorder="1" applyAlignment="1">
      <alignment horizontal="center" wrapText="1"/>
    </xf>
    <xf numFmtId="2" fontId="23" fillId="0" borderId="1" xfId="0" applyNumberFormat="1" applyFont="1" applyBorder="1" applyAlignment="1">
      <alignment horizontal="center" wrapText="1"/>
    </xf>
    <xf numFmtId="0" fontId="24" fillId="0" borderId="0" xfId="0" applyFont="1" applyAlignment="1">
      <alignment horizontal="left"/>
    </xf>
    <xf numFmtId="0" fontId="24" fillId="0" borderId="0" xfId="0" applyFont="1"/>
    <xf numFmtId="10" fontId="24" fillId="0" borderId="0" xfId="0" applyNumberFormat="1" applyFont="1"/>
    <xf numFmtId="2" fontId="24" fillId="0" borderId="0" xfId="0" applyNumberFormat="1" applyFont="1"/>
    <xf numFmtId="10" fontId="25" fillId="0" borderId="0" xfId="0" applyNumberFormat="1" applyFont="1"/>
    <xf numFmtId="0" fontId="0" fillId="0" borderId="16" xfId="0" applyBorder="1"/>
    <xf numFmtId="167" fontId="0" fillId="0" borderId="22" xfId="0" applyNumberFormat="1" applyBorder="1" applyAlignment="1">
      <alignment horizontal="center"/>
    </xf>
    <xf numFmtId="171" fontId="3" fillId="3" borderId="7" xfId="0" applyNumberFormat="1" applyFont="1" applyFill="1" applyBorder="1" applyAlignment="1">
      <alignment horizontal="center"/>
    </xf>
    <xf numFmtId="171" fontId="3" fillId="3" borderId="8" xfId="0" applyNumberFormat="1" applyFont="1" applyFill="1" applyBorder="1" applyAlignment="1">
      <alignment horizontal="center"/>
    </xf>
    <xf numFmtId="171" fontId="3" fillId="3" borderId="11" xfId="0" applyNumberFormat="1" applyFont="1" applyFill="1" applyBorder="1" applyAlignment="1">
      <alignment horizontal="center"/>
    </xf>
    <xf numFmtId="2" fontId="3" fillId="3" borderId="16" xfId="0" applyNumberFormat="1" applyFont="1" applyFill="1" applyBorder="1" applyAlignment="1">
      <alignment horizontal="center"/>
    </xf>
    <xf numFmtId="173" fontId="5" fillId="0" borderId="1" xfId="0" applyNumberFormat="1" applyFont="1" applyBorder="1" applyAlignment="1">
      <alignment horizontal="center"/>
    </xf>
    <xf numFmtId="173" fontId="0" fillId="2" borderId="1" xfId="0" applyNumberFormat="1" applyFill="1" applyBorder="1" applyAlignment="1">
      <alignment horizontal="center"/>
    </xf>
    <xf numFmtId="10" fontId="0" fillId="0" borderId="0" xfId="0" applyNumberFormat="1" applyAlignment="1">
      <alignment horizontal="center"/>
    </xf>
    <xf numFmtId="0" fontId="1" fillId="0" borderId="5" xfId="0" applyFont="1" applyBorder="1" applyAlignment="1">
      <alignment horizontal="left"/>
    </xf>
    <xf numFmtId="0" fontId="1" fillId="0" borderId="1" xfId="0" applyFont="1" applyBorder="1" applyAlignment="1">
      <alignment horizontal="left"/>
    </xf>
    <xf numFmtId="0" fontId="1" fillId="0" borderId="19" xfId="0" applyFont="1" applyBorder="1" applyAlignment="1">
      <alignment horizontal="left"/>
    </xf>
    <xf numFmtId="0" fontId="1" fillId="0" borderId="15" xfId="0" applyFont="1"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0" fillId="0" borderId="5" xfId="0" applyBorder="1"/>
    <xf numFmtId="0" fontId="0" fillId="0" borderId="1" xfId="0" applyBorder="1"/>
    <xf numFmtId="0" fontId="0" fillId="0" borderId="19" xfId="0" applyBorder="1" applyAlignment="1">
      <alignment horizontal="left"/>
    </xf>
    <xf numFmtId="0" fontId="0" fillId="0" borderId="15"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18" xfId="0" applyBorder="1" applyAlignment="1">
      <alignment horizontal="left"/>
    </xf>
    <xf numFmtId="0" fontId="9" fillId="0" borderId="22" xfId="0" applyFont="1" applyBorder="1" applyAlignment="1">
      <alignment horizontal="center"/>
    </xf>
    <xf numFmtId="0" fontId="1" fillId="0" borderId="3" xfId="0" applyFont="1" applyBorder="1" applyAlignment="1">
      <alignment horizontal="left"/>
    </xf>
    <xf numFmtId="0" fontId="1" fillId="0" borderId="4"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18" xfId="0" applyFont="1" applyBorder="1" applyAlignment="1">
      <alignment horizontal="left"/>
    </xf>
    <xf numFmtId="0" fontId="0" fillId="0" borderId="1" xfId="0" applyBorder="1" applyAlignment="1">
      <alignment horizontal="center"/>
    </xf>
    <xf numFmtId="10" fontId="4" fillId="0" borderId="25" xfId="0" applyNumberFormat="1" applyFont="1" applyBorder="1" applyAlignment="1">
      <alignment horizontal="center"/>
    </xf>
    <xf numFmtId="10" fontId="4" fillId="0" borderId="20" xfId="0" applyNumberFormat="1" applyFont="1" applyBorder="1" applyAlignment="1">
      <alignment horizontal="center"/>
    </xf>
    <xf numFmtId="10" fontId="4" fillId="0" borderId="26" xfId="0" applyNumberFormat="1" applyFont="1" applyBorder="1" applyAlignment="1">
      <alignment horizontal="center"/>
    </xf>
    <xf numFmtId="0" fontId="9" fillId="0" borderId="27" xfId="0" applyFont="1" applyBorder="1" applyAlignment="1">
      <alignment horizontal="center"/>
    </xf>
    <xf numFmtId="0" fontId="9" fillId="0" borderId="0" xfId="0" applyFont="1" applyAlignment="1">
      <alignment horizontal="center"/>
    </xf>
    <xf numFmtId="10" fontId="0" fillId="0" borderId="17" xfId="0" applyNumberFormat="1" applyBorder="1" applyAlignment="1">
      <alignment horizontal="center"/>
    </xf>
    <xf numFmtId="10" fontId="0" fillId="0" borderId="18" xfId="0" applyNumberFormat="1" applyBorder="1" applyAlignment="1">
      <alignment horizontal="center"/>
    </xf>
    <xf numFmtId="0" fontId="0" fillId="0" borderId="31" xfId="0" applyBorder="1" applyAlignment="1">
      <alignment horizontal="left"/>
    </xf>
    <xf numFmtId="0" fontId="0" fillId="0" borderId="26" xfId="0" applyBorder="1" applyAlignment="1">
      <alignment horizontal="left"/>
    </xf>
    <xf numFmtId="16" fontId="0" fillId="0" borderId="1" xfId="0" applyNumberFormat="1" applyBorder="1" applyAlignment="1">
      <alignment horizontal="center"/>
    </xf>
    <xf numFmtId="0" fontId="10" fillId="0" borderId="28" xfId="0" applyFont="1" applyBorder="1" applyAlignment="1">
      <alignment horizontal="center"/>
    </xf>
    <xf numFmtId="0" fontId="9" fillId="0" borderId="1" xfId="0" applyFont="1" applyBorder="1" applyAlignment="1">
      <alignment horizontal="center"/>
    </xf>
    <xf numFmtId="0" fontId="0" fillId="0" borderId="1" xfId="0" applyBorder="1" applyAlignment="1">
      <alignment horizontal="left" vertical="top" wrapText="1"/>
    </xf>
    <xf numFmtId="0" fontId="9" fillId="0" borderId="15" xfId="0" applyFont="1" applyBorder="1" applyAlignment="1">
      <alignment horizontal="center"/>
    </xf>
    <xf numFmtId="0" fontId="6" fillId="0" borderId="4" xfId="0" applyFont="1" applyBorder="1" applyAlignment="1">
      <alignment horizontal="center"/>
    </xf>
    <xf numFmtId="0" fontId="6" fillId="0" borderId="7" xfId="0" applyFont="1" applyBorder="1" applyAlignment="1">
      <alignment horizontal="center"/>
    </xf>
  </cellXfs>
  <cellStyles count="4">
    <cellStyle name="Comma" xfId="3" builtinId="3"/>
    <cellStyle name="Currency" xfId="1" builtinId="4"/>
    <cellStyle name="Normal" xfId="0" builtinId="0"/>
    <cellStyle name="Percent" xfId="2" builtinId="5"/>
  </cellStyles>
  <dxfs count="0"/>
  <tableStyles count="1" defaultTableStyle="TableStyleMedium9" defaultPivotStyle="PivotStyleMedium4">
    <tableStyle name="Invisible" pivot="0" table="0" count="0" xr9:uid="{55266735-E035-40C6-A5E4-7503C57E2110}"/>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2"/>
  <sheetViews>
    <sheetView topLeftCell="A33" workbookViewId="0">
      <selection activeCell="B47" sqref="B47"/>
    </sheetView>
  </sheetViews>
  <sheetFormatPr defaultColWidth="11.19921875" defaultRowHeight="15.6"/>
  <cols>
    <col min="1" max="1" width="78.296875" customWidth="1"/>
    <col min="2" max="2" width="57.19921875" style="3" customWidth="1"/>
    <col min="3" max="3" width="11.296875" bestFit="1" customWidth="1"/>
    <col min="4" max="4" width="57.19921875" customWidth="1"/>
    <col min="5" max="5" width="31.19921875" style="3" bestFit="1" customWidth="1"/>
    <col min="6" max="6" width="38.19921875" customWidth="1"/>
  </cols>
  <sheetData>
    <row r="1" spans="1:6">
      <c r="A1" s="1" t="s">
        <v>5</v>
      </c>
      <c r="D1" s="11" t="s">
        <v>294</v>
      </c>
      <c r="E1" s="15" t="s">
        <v>373</v>
      </c>
      <c r="F1" s="15" t="s">
        <v>134</v>
      </c>
    </row>
    <row r="2" spans="1:6">
      <c r="A2" t="s">
        <v>249</v>
      </c>
      <c r="B2" s="56">
        <f>3765878967488/10000000</f>
        <v>376587.89674880001</v>
      </c>
      <c r="D2" s="2" t="s">
        <v>370</v>
      </c>
      <c r="E2" s="123">
        <f>15000*75</f>
        <v>1125000</v>
      </c>
      <c r="F2" s="2" t="s">
        <v>250</v>
      </c>
    </row>
    <row r="3" spans="1:6">
      <c r="A3" t="s">
        <v>248</v>
      </c>
      <c r="B3" s="56">
        <v>37306</v>
      </c>
      <c r="D3" s="2" t="s">
        <v>268</v>
      </c>
      <c r="E3" s="123">
        <v>2000000</v>
      </c>
      <c r="F3" s="2" t="s">
        <v>362</v>
      </c>
    </row>
    <row r="4" spans="1:6">
      <c r="A4" t="s">
        <v>9</v>
      </c>
      <c r="B4" s="56">
        <v>9059</v>
      </c>
      <c r="D4" s="2" t="s">
        <v>251</v>
      </c>
      <c r="E4" s="123">
        <f>40000*75</f>
        <v>3000000</v>
      </c>
      <c r="F4" s="2" t="s">
        <v>363</v>
      </c>
    </row>
    <row r="5" spans="1:6">
      <c r="A5" t="s">
        <v>10</v>
      </c>
      <c r="B5" s="56">
        <v>1352</v>
      </c>
      <c r="D5" s="2" t="s">
        <v>252</v>
      </c>
      <c r="E5" s="123">
        <v>5000000</v>
      </c>
      <c r="F5" s="2" t="s">
        <v>364</v>
      </c>
    </row>
    <row r="6" spans="1:6">
      <c r="A6" s="1" t="s">
        <v>2</v>
      </c>
      <c r="B6" s="125"/>
      <c r="D6" s="2" t="s">
        <v>147</v>
      </c>
      <c r="E6" s="124">
        <f>3737828808000/10000000</f>
        <v>373782.88079999998</v>
      </c>
      <c r="F6" s="2" t="s">
        <v>148</v>
      </c>
    </row>
    <row r="7" spans="1:6">
      <c r="A7" t="s">
        <v>253</v>
      </c>
      <c r="B7" s="8" t="s">
        <v>147</v>
      </c>
      <c r="D7" s="17" t="s">
        <v>365</v>
      </c>
      <c r="E7" s="66" t="s">
        <v>308</v>
      </c>
    </row>
    <row r="8" spans="1:6">
      <c r="A8" t="s">
        <v>141</v>
      </c>
      <c r="B8" s="57">
        <f>VLOOKUP(B7,D2:E6,2)</f>
        <v>373782.88079999998</v>
      </c>
      <c r="D8" s="2" t="s">
        <v>307</v>
      </c>
      <c r="E8" s="48">
        <v>1</v>
      </c>
      <c r="F8" s="2" t="s">
        <v>310</v>
      </c>
    </row>
    <row r="9" spans="1:6">
      <c r="A9" t="s">
        <v>260</v>
      </c>
      <c r="B9" s="8" t="s">
        <v>149</v>
      </c>
      <c r="D9" s="2" t="s">
        <v>309</v>
      </c>
      <c r="E9" s="48">
        <v>1.5</v>
      </c>
      <c r="F9" s="2" t="s">
        <v>311</v>
      </c>
    </row>
    <row r="10" spans="1:6">
      <c r="A10" t="s">
        <v>261</v>
      </c>
      <c r="B10" s="63">
        <f>VLOOKUP(B9,D8:E12,2)</f>
        <v>2.5</v>
      </c>
      <c r="D10" s="2" t="s">
        <v>313</v>
      </c>
      <c r="E10" s="48">
        <v>2</v>
      </c>
      <c r="F10" s="2" t="s">
        <v>312</v>
      </c>
    </row>
    <row r="11" spans="1:6">
      <c r="A11" s="1" t="s">
        <v>3</v>
      </c>
      <c r="D11" s="2" t="s">
        <v>315</v>
      </c>
      <c r="E11" s="48">
        <v>4</v>
      </c>
      <c r="F11" s="2" t="s">
        <v>314</v>
      </c>
    </row>
    <row r="12" spans="1:6">
      <c r="A12" t="s">
        <v>262</v>
      </c>
      <c r="B12" s="4" t="s">
        <v>150</v>
      </c>
      <c r="D12" s="2" t="s">
        <v>149</v>
      </c>
      <c r="E12" s="6">
        <v>2.5</v>
      </c>
      <c r="F12" s="2" t="s">
        <v>148</v>
      </c>
    </row>
    <row r="13" spans="1:6">
      <c r="A13" t="s">
        <v>140</v>
      </c>
      <c r="B13" s="44">
        <f>VLOOKUP(B12,D14:E19,2)</f>
        <v>0.57999999999999996</v>
      </c>
      <c r="D13" s="1" t="s">
        <v>133</v>
      </c>
      <c r="E13" s="67" t="s">
        <v>135</v>
      </c>
    </row>
    <row r="14" spans="1:6">
      <c r="A14" t="s">
        <v>0</v>
      </c>
      <c r="B14" s="45">
        <v>10</v>
      </c>
      <c r="D14" s="2" t="s">
        <v>137</v>
      </c>
      <c r="E14" s="23">
        <v>0.1</v>
      </c>
      <c r="F14" s="2" t="s">
        <v>138</v>
      </c>
    </row>
    <row r="15" spans="1:6">
      <c r="A15" t="s">
        <v>263</v>
      </c>
      <c r="B15" s="16" t="s">
        <v>151</v>
      </c>
      <c r="D15" s="2" t="s">
        <v>254</v>
      </c>
      <c r="E15" s="23">
        <v>0.2</v>
      </c>
      <c r="F15" s="2" t="s">
        <v>258</v>
      </c>
    </row>
    <row r="16" spans="1:6">
      <c r="A16" t="s">
        <v>245</v>
      </c>
      <c r="B16" s="44">
        <f>VLOOKUP(B15,D21:E25,2)</f>
        <v>0.24</v>
      </c>
      <c r="D16" s="2" t="s">
        <v>255</v>
      </c>
      <c r="E16" s="23">
        <v>0.3</v>
      </c>
      <c r="F16" s="2" t="s">
        <v>369</v>
      </c>
    </row>
    <row r="17" spans="1:6">
      <c r="A17" t="s">
        <v>1</v>
      </c>
      <c r="B17" s="7" t="s">
        <v>243</v>
      </c>
      <c r="D17" s="2" t="s">
        <v>256</v>
      </c>
      <c r="E17" s="23">
        <v>0.4</v>
      </c>
      <c r="F17" s="2" t="s">
        <v>259</v>
      </c>
    </row>
    <row r="18" spans="1:6">
      <c r="A18" t="s">
        <v>49</v>
      </c>
      <c r="B18" s="63">
        <f>VLOOKUP(B17,D38:E44,2)</f>
        <v>2</v>
      </c>
      <c r="D18" s="2" t="s">
        <v>257</v>
      </c>
      <c r="E18" s="23">
        <v>0.6</v>
      </c>
      <c r="F18" s="2" t="s">
        <v>297</v>
      </c>
    </row>
    <row r="19" spans="1:6">
      <c r="A19" s="1" t="s">
        <v>4</v>
      </c>
      <c r="D19" s="2" t="s">
        <v>150</v>
      </c>
      <c r="E19" s="5">
        <v>0.57999999999999996</v>
      </c>
      <c r="F19" s="2" t="s">
        <v>148</v>
      </c>
    </row>
    <row r="20" spans="1:6">
      <c r="A20" t="s">
        <v>289</v>
      </c>
      <c r="B20" s="4" t="s">
        <v>146</v>
      </c>
      <c r="D20" s="1" t="s">
        <v>269</v>
      </c>
      <c r="E20" s="67" t="s">
        <v>136</v>
      </c>
    </row>
    <row r="21" spans="1:6">
      <c r="A21" t="s">
        <v>6</v>
      </c>
      <c r="B21" s="44">
        <f>VLOOKUP(B20,D27:E31,2)</f>
        <v>0.25</v>
      </c>
      <c r="D21" s="2" t="s">
        <v>270</v>
      </c>
      <c r="E21" s="24">
        <v>0.1</v>
      </c>
      <c r="F21" s="2" t="s">
        <v>142</v>
      </c>
    </row>
    <row r="22" spans="1:6">
      <c r="A22" t="s">
        <v>176</v>
      </c>
      <c r="B22" s="7" t="s">
        <v>243</v>
      </c>
      <c r="D22" s="2" t="s">
        <v>272</v>
      </c>
      <c r="E22" s="24">
        <v>0.15</v>
      </c>
      <c r="F22" s="2" t="s">
        <v>143</v>
      </c>
    </row>
    <row r="23" spans="1:6">
      <c r="A23" t="s">
        <v>186</v>
      </c>
      <c r="B23" s="43">
        <f>VLOOKUP(B22,D33:E36,2)</f>
        <v>3</v>
      </c>
      <c r="D23" s="2" t="s">
        <v>271</v>
      </c>
      <c r="E23" s="24">
        <f>B4/B3</f>
        <v>0.24282957165067282</v>
      </c>
      <c r="F23" s="2" t="s">
        <v>144</v>
      </c>
    </row>
    <row r="24" spans="1:6">
      <c r="A24" t="s">
        <v>7</v>
      </c>
      <c r="B24" s="7">
        <v>0.25</v>
      </c>
      <c r="D24" s="2" t="s">
        <v>316</v>
      </c>
      <c r="E24" s="24">
        <v>0.25</v>
      </c>
      <c r="F24" s="2" t="s">
        <v>139</v>
      </c>
    </row>
    <row r="25" spans="1:6">
      <c r="A25" s="1" t="s">
        <v>8</v>
      </c>
      <c r="D25" t="s">
        <v>151</v>
      </c>
      <c r="E25" s="68">
        <v>0.24</v>
      </c>
      <c r="F25" s="2" t="s">
        <v>148</v>
      </c>
    </row>
    <row r="26" spans="1:6">
      <c r="A26" t="s">
        <v>267</v>
      </c>
      <c r="B26" s="5" t="s">
        <v>281</v>
      </c>
      <c r="D26" s="11" t="s">
        <v>264</v>
      </c>
      <c r="E26" s="15" t="s">
        <v>145</v>
      </c>
      <c r="F26" s="2"/>
    </row>
    <row r="27" spans="1:6">
      <c r="A27" t="s">
        <v>274</v>
      </c>
      <c r="B27" s="44">
        <f>VLOOKUP(B26,D46:E51,2)</f>
        <v>9.9099999999999994E-2</v>
      </c>
      <c r="D27" s="2" t="s">
        <v>298</v>
      </c>
      <c r="E27" s="23">
        <v>0.45</v>
      </c>
      <c r="F27" s="2" t="s">
        <v>302</v>
      </c>
    </row>
    <row r="28" spans="1:6">
      <c r="A28" t="s">
        <v>266</v>
      </c>
      <c r="B28" s="5" t="s">
        <v>281</v>
      </c>
      <c r="D28" s="2" t="s">
        <v>299</v>
      </c>
      <c r="E28" s="23">
        <v>0.35</v>
      </c>
      <c r="F28" s="2" t="s">
        <v>303</v>
      </c>
    </row>
    <row r="29" spans="1:6">
      <c r="A29" t="s">
        <v>275</v>
      </c>
      <c r="B29" s="44">
        <f>VLOOKUP(B28,D46:F51,2)</f>
        <v>9.9099999999999994E-2</v>
      </c>
      <c r="D29" s="2" t="s">
        <v>301</v>
      </c>
      <c r="E29" s="23">
        <v>0.25</v>
      </c>
      <c r="F29" s="2" t="s">
        <v>304</v>
      </c>
    </row>
    <row r="30" spans="1:6">
      <c r="A30" t="s">
        <v>38</v>
      </c>
      <c r="B30" s="5">
        <v>0.1</v>
      </c>
      <c r="D30" s="2" t="s">
        <v>300</v>
      </c>
      <c r="E30" s="23">
        <v>0.15</v>
      </c>
      <c r="F30" s="2" t="s">
        <v>305</v>
      </c>
    </row>
    <row r="31" spans="1:6">
      <c r="A31" t="s">
        <v>41</v>
      </c>
      <c r="B31" s="5" t="s">
        <v>265</v>
      </c>
      <c r="D31" s="2" t="s">
        <v>146</v>
      </c>
      <c r="E31" s="5">
        <v>0.18</v>
      </c>
      <c r="F31" s="2" t="s">
        <v>148</v>
      </c>
    </row>
    <row r="32" spans="1:6">
      <c r="A32" s="1" t="s">
        <v>20</v>
      </c>
      <c r="D32" s="11" t="s">
        <v>177</v>
      </c>
      <c r="E32" s="15" t="s">
        <v>179</v>
      </c>
      <c r="F32" s="2"/>
    </row>
    <row r="33" spans="1:6">
      <c r="A33" t="s">
        <v>21</v>
      </c>
      <c r="B33" s="7">
        <v>7.3649999999999993E-2</v>
      </c>
      <c r="D33" s="2" t="s">
        <v>178</v>
      </c>
      <c r="E33" s="42">
        <v>3</v>
      </c>
      <c r="F33" s="2" t="s">
        <v>181</v>
      </c>
    </row>
    <row r="34" spans="1:6">
      <c r="A34" t="s">
        <v>23</v>
      </c>
      <c r="B34" s="7">
        <v>0.18</v>
      </c>
      <c r="D34" s="2" t="s">
        <v>183</v>
      </c>
      <c r="E34" s="42">
        <v>5</v>
      </c>
      <c r="F34" s="2" t="s">
        <v>180</v>
      </c>
    </row>
    <row r="35" spans="1:6">
      <c r="A35" t="s">
        <v>24</v>
      </c>
      <c r="B35" s="4" t="s">
        <v>25</v>
      </c>
      <c r="D35" s="2" t="s">
        <v>184</v>
      </c>
      <c r="E35" s="42">
        <v>10</v>
      </c>
      <c r="F35" s="2" t="s">
        <v>182</v>
      </c>
    </row>
    <row r="36" spans="1:6">
      <c r="A36" s="1" t="s">
        <v>172</v>
      </c>
      <c r="D36" s="2" t="s">
        <v>185</v>
      </c>
      <c r="E36" s="4">
        <v>3</v>
      </c>
      <c r="F36" s="2" t="s">
        <v>148</v>
      </c>
    </row>
    <row r="37" spans="1:6">
      <c r="A37" s="2" t="s">
        <v>173</v>
      </c>
      <c r="B37" s="56">
        <v>8074.82</v>
      </c>
      <c r="D37" s="1" t="s">
        <v>48</v>
      </c>
      <c r="E37" s="67" t="s">
        <v>236</v>
      </c>
    </row>
    <row r="38" spans="1:6">
      <c r="A38" s="2" t="s">
        <v>246</v>
      </c>
      <c r="B38" s="56">
        <v>0</v>
      </c>
      <c r="D38" s="2" t="s">
        <v>239</v>
      </c>
      <c r="E38" s="48">
        <v>10</v>
      </c>
      <c r="F38" s="2" t="s">
        <v>318</v>
      </c>
    </row>
    <row r="39" spans="1:6">
      <c r="A39" s="2" t="s">
        <v>244</v>
      </c>
      <c r="B39" s="56">
        <v>0</v>
      </c>
      <c r="D39" s="2" t="s">
        <v>240</v>
      </c>
      <c r="E39" s="48">
        <v>5</v>
      </c>
      <c r="F39" s="2" t="s">
        <v>319</v>
      </c>
    </row>
    <row r="40" spans="1:6">
      <c r="A40" s="2" t="s">
        <v>193</v>
      </c>
      <c r="B40" s="56">
        <v>3128</v>
      </c>
      <c r="D40" s="2" t="s">
        <v>291</v>
      </c>
      <c r="E40" s="48">
        <v>4</v>
      </c>
      <c r="F40" s="2" t="s">
        <v>320</v>
      </c>
    </row>
    <row r="41" spans="1:6">
      <c r="A41" s="2" t="s">
        <v>293</v>
      </c>
      <c r="B41" s="56">
        <v>70</v>
      </c>
      <c r="D41" s="2" t="s">
        <v>292</v>
      </c>
      <c r="E41" s="48">
        <v>2.5</v>
      </c>
      <c r="F41" s="2" t="s">
        <v>321</v>
      </c>
    </row>
    <row r="42" spans="1:6">
      <c r="A42" s="2" t="s">
        <v>374</v>
      </c>
      <c r="B42" s="4">
        <f>8800000000/10000000</f>
        <v>880</v>
      </c>
      <c r="D42" s="2" t="s">
        <v>241</v>
      </c>
      <c r="E42" s="48">
        <v>2</v>
      </c>
      <c r="F42" s="2" t="s">
        <v>237</v>
      </c>
    </row>
    <row r="43" spans="1:6">
      <c r="A43" s="70" t="s">
        <v>322</v>
      </c>
      <c r="B43" s="71">
        <v>266</v>
      </c>
      <c r="D43" s="2" t="s">
        <v>242</v>
      </c>
      <c r="E43" s="48">
        <v>1.5</v>
      </c>
      <c r="F43" s="2" t="s">
        <v>238</v>
      </c>
    </row>
    <row r="44" spans="1:6">
      <c r="A44" s="70" t="s">
        <v>323</v>
      </c>
      <c r="B44" s="73">
        <v>50</v>
      </c>
      <c r="D44" s="2" t="s">
        <v>243</v>
      </c>
      <c r="E44" s="6">
        <v>2</v>
      </c>
      <c r="F44" s="2" t="s">
        <v>148</v>
      </c>
    </row>
    <row r="45" spans="1:6">
      <c r="A45" s="70" t="s">
        <v>324</v>
      </c>
      <c r="B45" s="71">
        <v>7.16</v>
      </c>
      <c r="D45" s="59" t="s">
        <v>273</v>
      </c>
      <c r="E45" s="3" t="s">
        <v>372</v>
      </c>
    </row>
    <row r="46" spans="1:6">
      <c r="A46" s="70" t="s">
        <v>325</v>
      </c>
      <c r="B46" s="72">
        <v>0.5</v>
      </c>
      <c r="D46" s="2" t="s">
        <v>276</v>
      </c>
      <c r="E46" s="24">
        <v>8.0100000000000005E-2</v>
      </c>
      <c r="F46" s="2" t="s">
        <v>282</v>
      </c>
    </row>
    <row r="47" spans="1:6">
      <c r="D47" s="2" t="s">
        <v>277</v>
      </c>
      <c r="E47" s="24">
        <v>9.5000000000000001E-2</v>
      </c>
      <c r="F47" s="2" t="s">
        <v>282</v>
      </c>
    </row>
    <row r="48" spans="1:6">
      <c r="A48" s="1" t="s">
        <v>295</v>
      </c>
      <c r="D48" s="2" t="s">
        <v>278</v>
      </c>
      <c r="E48" s="24">
        <v>0.1099</v>
      </c>
      <c r="F48" s="2" t="s">
        <v>282</v>
      </c>
    </row>
    <row r="49" spans="1:6">
      <c r="A49" s="2" t="s">
        <v>283</v>
      </c>
      <c r="B49" s="12" t="str">
        <f>B7</f>
        <v>A5: Direct input</v>
      </c>
      <c r="D49" s="2" t="s">
        <v>279</v>
      </c>
      <c r="E49" s="24">
        <v>0.1206</v>
      </c>
      <c r="F49" s="2" t="s">
        <v>282</v>
      </c>
    </row>
    <row r="50" spans="1:6">
      <c r="A50" s="2" t="s">
        <v>284</v>
      </c>
      <c r="B50" s="12" t="str">
        <f>B9</f>
        <v>B5. Direct input</v>
      </c>
      <c r="D50" s="2" t="s">
        <v>280</v>
      </c>
      <c r="E50" s="24">
        <v>0.13159999999999999</v>
      </c>
      <c r="F50" s="2" t="s">
        <v>282</v>
      </c>
    </row>
    <row r="51" spans="1:6">
      <c r="A51" s="2" t="s">
        <v>285</v>
      </c>
      <c r="B51" s="12" t="str">
        <f>B12</f>
        <v>C6: Direct input</v>
      </c>
      <c r="D51" s="2" t="s">
        <v>281</v>
      </c>
      <c r="E51" s="7">
        <v>9.9099999999999994E-2</v>
      </c>
      <c r="F51" s="2" t="s">
        <v>148</v>
      </c>
    </row>
    <row r="52" spans="1:6">
      <c r="A52" s="2" t="s">
        <v>288</v>
      </c>
      <c r="B52" s="13" t="str">
        <f>B15</f>
        <v>D5: Direct input</v>
      </c>
      <c r="C52" s="10"/>
    </row>
    <row r="53" spans="1:6">
      <c r="A53" s="2" t="s">
        <v>290</v>
      </c>
      <c r="B53" s="13" t="str">
        <f>B20</f>
        <v>E4: Direct input</v>
      </c>
    </row>
    <row r="54" spans="1:6">
      <c r="A54" s="2" t="s">
        <v>286</v>
      </c>
      <c r="B54" s="13" t="str">
        <f>B17</f>
        <v>G7. Direct input</v>
      </c>
    </row>
    <row r="55" spans="1:6">
      <c r="A55" s="2" t="s">
        <v>366</v>
      </c>
      <c r="B55" s="13" t="str">
        <f>B26</f>
        <v>H6. Direct Input</v>
      </c>
    </row>
    <row r="56" spans="1:6">
      <c r="A56" s="2" t="s">
        <v>287</v>
      </c>
      <c r="B56" s="14">
        <f>B30</f>
        <v>0.1</v>
      </c>
    </row>
    <row r="57" spans="1:6" ht="16.2" thickBot="1">
      <c r="A57" s="1" t="s">
        <v>296</v>
      </c>
      <c r="B57" s="55"/>
    </row>
    <row r="58" spans="1:6">
      <c r="A58" s="18" t="s">
        <v>169</v>
      </c>
      <c r="B58" s="119">
        <f>Valuation!B25</f>
        <v>77211.758280186637</v>
      </c>
    </row>
    <row r="59" spans="1:6">
      <c r="A59" s="21" t="s">
        <v>317</v>
      </c>
      <c r="B59" s="120">
        <f>Valuation!B30</f>
        <v>82158.57828018663</v>
      </c>
    </row>
    <row r="60" spans="1:6" ht="16.2" thickBot="1">
      <c r="A60" s="69" t="s">
        <v>188</v>
      </c>
      <c r="B60" s="121">
        <f ca="1">Valuation!B33</f>
        <v>80.257895695454593</v>
      </c>
    </row>
    <row r="61" spans="1:6" ht="16.2" thickBot="1">
      <c r="B61" s="118"/>
    </row>
    <row r="62" spans="1:6" ht="16.2" thickBot="1">
      <c r="A62" s="117" t="s">
        <v>371</v>
      </c>
      <c r="B62" s="122">
        <f>B58/B4</f>
        <v>8.5232098774905225</v>
      </c>
    </row>
  </sheetData>
  <dataValidations count="8">
    <dataValidation type="list" allowBlank="1" showInputMessage="1" showErrorMessage="1" sqref="B7" xr:uid="{00000000-0002-0000-0000-000000000000}">
      <formula1>$D$2:$D$6</formula1>
    </dataValidation>
    <dataValidation type="list" allowBlank="1" showInputMessage="1" showErrorMessage="1" sqref="B9" xr:uid="{00000000-0002-0000-0000-000001000000}">
      <formula1>$D$8:$D$12</formula1>
    </dataValidation>
    <dataValidation type="list" allowBlank="1" showInputMessage="1" showErrorMessage="1" sqref="B12" xr:uid="{00000000-0002-0000-0000-000002000000}">
      <formula1>$D$14:$D$19</formula1>
    </dataValidation>
    <dataValidation type="list" allowBlank="1" showInputMessage="1" showErrorMessage="1" sqref="B15" xr:uid="{00000000-0002-0000-0000-000003000000}">
      <formula1>$D$21:$D$25</formula1>
    </dataValidation>
    <dataValidation type="list" allowBlank="1" showInputMessage="1" showErrorMessage="1" sqref="B22" xr:uid="{00000000-0002-0000-0000-000005000000}">
      <formula1>$D$33:$D$36</formula1>
    </dataValidation>
    <dataValidation type="list" allowBlank="1" showInputMessage="1" showErrorMessage="1" sqref="B17" xr:uid="{00000000-0002-0000-0000-000009000000}">
      <formula1>$D$38:$D$44</formula1>
    </dataValidation>
    <dataValidation type="list" allowBlank="1" showInputMessage="1" showErrorMessage="1" sqref="B28 B26" xr:uid="{00000000-0002-0000-0000-000006000000}">
      <formula1>$D$46:$D$51</formula1>
    </dataValidation>
    <dataValidation type="list" allowBlank="1" showInputMessage="1" showErrorMessage="1" sqref="B20" xr:uid="{00000000-0002-0000-0000-000004000000}">
      <formula1>$D$27:$D$31</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7000000}">
          <x14:formula1>
            <xm:f>'Input choices'!$A$2:$A$3</xm:f>
          </x14:formula1>
          <xm:sqref>B35:B36</xm:sqref>
        </x14:dataValidation>
        <x14:dataValidation type="list" allowBlank="1" showInputMessage="1" showErrorMessage="1" xr:uid="{00000000-0002-0000-0000-000008000000}">
          <x14:formula1>
            <xm:f>'Input choices'!$B$2:$B$7</xm:f>
          </x14:formula1>
          <xm:sqref>B31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5"/>
  <sheetViews>
    <sheetView tabSelected="1" topLeftCell="A8" workbookViewId="0">
      <selection activeCell="G20" sqref="G20"/>
    </sheetView>
  </sheetViews>
  <sheetFormatPr defaultColWidth="11.19921875" defaultRowHeight="15.6"/>
  <cols>
    <col min="1" max="1" width="30.69921875" customWidth="1"/>
    <col min="2" max="2" width="14" style="3" customWidth="1"/>
    <col min="3" max="5" width="12.796875" style="3" bestFit="1" customWidth="1"/>
    <col min="6" max="7" width="13.296875" style="3" bestFit="1" customWidth="1"/>
    <col min="8" max="9" width="12.796875" style="3" bestFit="1" customWidth="1"/>
    <col min="10" max="12" width="13.296875" style="3" bestFit="1" customWidth="1"/>
    <col min="13" max="13" width="13.69921875" style="3" bestFit="1" customWidth="1"/>
  </cols>
  <sheetData>
    <row r="1" spans="1:15">
      <c r="A1" s="2"/>
      <c r="B1" s="42" t="s">
        <v>11</v>
      </c>
      <c r="C1" s="42">
        <v>1</v>
      </c>
      <c r="D1" s="42">
        <v>2</v>
      </c>
      <c r="E1" s="42">
        <v>3</v>
      </c>
      <c r="F1" s="42">
        <v>4</v>
      </c>
      <c r="G1" s="42">
        <v>5</v>
      </c>
      <c r="H1" s="42">
        <v>6</v>
      </c>
      <c r="I1" s="42">
        <v>7</v>
      </c>
      <c r="J1" s="42">
        <v>8</v>
      </c>
      <c r="K1" s="42">
        <v>9</v>
      </c>
      <c r="L1" s="42">
        <v>10</v>
      </c>
      <c r="M1" s="42" t="s">
        <v>31</v>
      </c>
      <c r="O1" s="42" t="s">
        <v>306</v>
      </c>
    </row>
    <row r="2" spans="1:15">
      <c r="A2" s="2" t="s">
        <v>294</v>
      </c>
      <c r="B2" s="61">
        <f>Inputs!B2</f>
        <v>376587.89674880001</v>
      </c>
      <c r="C2" s="61">
        <f>$B$2*(1+$O$2*Inputs!$B$10)^C1</f>
        <v>375948.22445247561</v>
      </c>
      <c r="D2" s="61">
        <f>$B$2*(1+$O$2*Inputs!$B$10)^D1</f>
        <v>375309.63870367495</v>
      </c>
      <c r="E2" s="61">
        <f>$B$2*(1+$O$2*Inputs!$B$10)^E1</f>
        <v>374672.13765678817</v>
      </c>
      <c r="F2" s="61">
        <f>$B$2*(1+$O$2*Inputs!$B$10)^F1</f>
        <v>374035.71946934029</v>
      </c>
      <c r="G2" s="61">
        <f>$B$2*(1+$O$2*Inputs!$B$10)^G1</f>
        <v>373400.38230198593</v>
      </c>
      <c r="H2" s="61">
        <f>$G$2*($M$2/$G$2)^(1/6)^(H1-5)</f>
        <v>373464.10485907207</v>
      </c>
      <c r="I2" s="61">
        <f t="shared" ref="I2:L2" si="0">$G$2*($M$2/$G$2)^(1/6)^(I1-5)</f>
        <v>373527.83829071658</v>
      </c>
      <c r="J2" s="61">
        <f t="shared" si="0"/>
        <v>373591.58259877545</v>
      </c>
      <c r="K2" s="61">
        <f t="shared" si="0"/>
        <v>373655.33778510452</v>
      </c>
      <c r="L2" s="61">
        <f t="shared" si="0"/>
        <v>373719.1038515605</v>
      </c>
      <c r="M2" s="61">
        <f>Inputs!B8</f>
        <v>373782.88079999998</v>
      </c>
      <c r="O2" s="65">
        <f>(M2/B2)^(1/11)-1</f>
        <v>-6.7944010080711603E-4</v>
      </c>
    </row>
    <row r="3" spans="1:15">
      <c r="A3" s="2" t="s">
        <v>28</v>
      </c>
      <c r="B3" s="22">
        <f>Inputs!B3/Valuation!B2</f>
        <v>9.906319433543738E-2</v>
      </c>
      <c r="C3" s="24">
        <f>IF(B3=$M$3,$M$3,B3+($M$3-$B$3)/Inputs!$B$14)</f>
        <v>0.14715687490189364</v>
      </c>
      <c r="D3" s="24">
        <f>IF(C3=$M$3,$M$3,C3+($M$3-$B$3)/Inputs!$B$14)</f>
        <v>0.19525055546834991</v>
      </c>
      <c r="E3" s="24">
        <f>IF(D3=$M$3,$M$3,D3+($M$3-$B$3)/Inputs!$B$14)</f>
        <v>0.24334423603480615</v>
      </c>
      <c r="F3" s="24">
        <f>IF(E3=$M$3,$M$3,E3+($M$3-$B$3)/Inputs!$B$14)</f>
        <v>0.29143791660126239</v>
      </c>
      <c r="G3" s="24">
        <f>IF(F3=$M$3,$M$3,F3+($M$3-$B$3)/Inputs!$B$14)</f>
        <v>0.33953159716771864</v>
      </c>
      <c r="H3" s="24">
        <f>IF(G3=$M$3,$M$3,G3+($M$3-$B$3)/Inputs!$B$14)</f>
        <v>0.38762527773417488</v>
      </c>
      <c r="I3" s="24">
        <f>IF(H3=$M$3,$M$3,H3+($M$3-$B$3)/Inputs!$B$14)</f>
        <v>0.43571895830063112</v>
      </c>
      <c r="J3" s="24">
        <f>IF(I3=$M$3,$M$3,I3+($M$3-$B$3)/Inputs!$B$14)</f>
        <v>0.48381263886708736</v>
      </c>
      <c r="K3" s="24">
        <f>IF(J3=$M$3,$M$3,J3+($M$3-$B$3)/Inputs!$B$14)</f>
        <v>0.53190631943354361</v>
      </c>
      <c r="L3" s="24">
        <f>IF(K3=$M$3,$M$3,K3+($M$3-$B$3)/Inputs!$B$14)</f>
        <v>0.57999999999999985</v>
      </c>
      <c r="M3" s="24">
        <f>Inputs!B13</f>
        <v>0.57999999999999996</v>
      </c>
    </row>
    <row r="4" spans="1:15">
      <c r="A4" s="2" t="s">
        <v>29</v>
      </c>
      <c r="B4" s="22">
        <f>Inputs!B4/Inputs!B3</f>
        <v>0.24282957165067282</v>
      </c>
      <c r="C4" s="22">
        <f>$L$4+(($B$4-$L$4)/10)*(10-C1)</f>
        <v>0.24254661448560552</v>
      </c>
      <c r="D4" s="22">
        <f t="shared" ref="D4:K4" si="1">$L$4+(($B$4-$L$4)/10)*(10-D1)</f>
        <v>0.24226365732053826</v>
      </c>
      <c r="E4" s="22">
        <f t="shared" si="1"/>
        <v>0.24198070015547096</v>
      </c>
      <c r="F4" s="22">
        <f t="shared" si="1"/>
        <v>0.2416977429904037</v>
      </c>
      <c r="G4" s="22">
        <f t="shared" si="1"/>
        <v>0.2414147858253364</v>
      </c>
      <c r="H4" s="22">
        <f t="shared" si="1"/>
        <v>0.24113182866026911</v>
      </c>
      <c r="I4" s="22">
        <f t="shared" si="1"/>
        <v>0.24084887149520184</v>
      </c>
      <c r="J4" s="22">
        <f t="shared" si="1"/>
        <v>0.24056591433013455</v>
      </c>
      <c r="K4" s="22">
        <f t="shared" si="1"/>
        <v>0.24028295716506728</v>
      </c>
      <c r="L4" s="24">
        <f>Inputs!B16</f>
        <v>0.24</v>
      </c>
      <c r="M4" s="47">
        <f>L4</f>
        <v>0.24</v>
      </c>
    </row>
    <row r="5" spans="1:15">
      <c r="A5" s="2" t="s">
        <v>12</v>
      </c>
      <c r="B5" s="61">
        <f>B2*B3*B4</f>
        <v>9059</v>
      </c>
      <c r="C5" s="61">
        <f t="shared" ref="C5:K5" si="2">C2*C3*C4</f>
        <v>13418.495085310811</v>
      </c>
      <c r="D5" s="61">
        <f t="shared" si="2"/>
        <v>17752.939188266173</v>
      </c>
      <c r="E5" s="61">
        <f t="shared" si="2"/>
        <v>22062.422184678257</v>
      </c>
      <c r="F5" s="61">
        <f t="shared" si="2"/>
        <v>26347.033687839175</v>
      </c>
      <c r="G5" s="61">
        <f t="shared" si="2"/>
        <v>30606.863049203537</v>
      </c>
      <c r="H5" s="61">
        <f t="shared" si="2"/>
        <v>34907.238757074199</v>
      </c>
      <c r="I5" s="61">
        <f t="shared" si="2"/>
        <v>39198.91506190045</v>
      </c>
      <c r="J5" s="61">
        <f t="shared" si="2"/>
        <v>43481.887134330311</v>
      </c>
      <c r="K5" s="61">
        <f t="shared" si="2"/>
        <v>47756.15014332073</v>
      </c>
      <c r="L5" s="61">
        <f>L2*L3*L4</f>
        <v>52021.699256137203</v>
      </c>
      <c r="M5" s="61">
        <f>M2*M3*M4</f>
        <v>52030.577007359992</v>
      </c>
    </row>
    <row r="6" spans="1:15">
      <c r="A6" s="2" t="s">
        <v>13</v>
      </c>
      <c r="B6" s="22">
        <f>B7/B5</f>
        <v>0.14924384589910586</v>
      </c>
      <c r="C6" s="22">
        <f>IF(B6=$L$6,$L$6,$L$6+($B$6-$L$6)/Inputs!$B$23*(Inputs!$B$23-C1))</f>
        <v>0.18282923059940392</v>
      </c>
      <c r="D6" s="22">
        <f>IF(C6=$L$6,$L$6,$L$6+($B$6-$L$6)/Inputs!$B$23*(Inputs!$B$23-D1))</f>
        <v>0.21641461529970196</v>
      </c>
      <c r="E6" s="22">
        <f>IF(D6=$L$6,$L$6,$L$6+($B$6-$L$6)/Inputs!$B$23*(Inputs!$B$23-E1))</f>
        <v>0.25</v>
      </c>
      <c r="F6" s="22">
        <f>IF(E6=$L$6,$L$6,$L$6+($B$6-$L$6)/Inputs!$B$23*(Inputs!$B$23-F1))</f>
        <v>0.25</v>
      </c>
      <c r="G6" s="22">
        <f>IF(F6=$L$6,$L$6,$L$6+($B$6-$L$6)/Inputs!$B$23*(Inputs!$B$23-G1))</f>
        <v>0.25</v>
      </c>
      <c r="H6" s="22">
        <f>IF(G6=$L$6,$L$6,$L$6+($B$6-$L$6)/Inputs!$B$23*(Inputs!$B$23-H1))</f>
        <v>0.25</v>
      </c>
      <c r="I6" s="22">
        <f>IF(H6=$L$6,$L$6,$L$6+($B$6-$L$6)/Inputs!$B$23*(Inputs!$B$23-I1))</f>
        <v>0.25</v>
      </c>
      <c r="J6" s="22">
        <f>IF(I6=$L$6,$L$6,$L$6+($B$6-$L$6)/Inputs!$B$23*(Inputs!$B$23-J1))</f>
        <v>0.25</v>
      </c>
      <c r="K6" s="22">
        <f>IF(J6=$L$6,$L$6,$L$6+($B$6-$L$6)/Inputs!$B$23*(Inputs!$B$23-K1))</f>
        <v>0.25</v>
      </c>
      <c r="L6" s="24">
        <f>Inputs!B21</f>
        <v>0.25</v>
      </c>
      <c r="M6" s="24">
        <f>L6</f>
        <v>0.25</v>
      </c>
    </row>
    <row r="7" spans="1:15">
      <c r="A7" s="2" t="s">
        <v>14</v>
      </c>
      <c r="B7" s="61">
        <f>Inputs!B5</f>
        <v>1352</v>
      </c>
      <c r="C7" s="61">
        <f>C6*C5</f>
        <v>2453.2931322492586</v>
      </c>
      <c r="D7" s="61">
        <f t="shared" ref="D7:L7" si="3">D6*D5</f>
        <v>3841.995504867627</v>
      </c>
      <c r="E7" s="61">
        <f t="shared" si="3"/>
        <v>5515.6055461695641</v>
      </c>
      <c r="F7" s="61">
        <f t="shared" si="3"/>
        <v>6586.7584219597938</v>
      </c>
      <c r="G7" s="61">
        <f t="shared" si="3"/>
        <v>7651.7157623008843</v>
      </c>
      <c r="H7" s="61">
        <f t="shared" si="3"/>
        <v>8726.8096892685498</v>
      </c>
      <c r="I7" s="61">
        <f t="shared" si="3"/>
        <v>9799.7287654751126</v>
      </c>
      <c r="J7" s="61">
        <f t="shared" si="3"/>
        <v>10870.471783582578</v>
      </c>
      <c r="K7" s="61">
        <f t="shared" si="3"/>
        <v>11939.037535830183</v>
      </c>
      <c r="L7" s="61">
        <f t="shared" si="3"/>
        <v>13005.424814034301</v>
      </c>
      <c r="M7" s="61">
        <f>M5*M6</f>
        <v>13007.644251839998</v>
      </c>
    </row>
    <row r="8" spans="1:15">
      <c r="A8" s="2" t="s">
        <v>22</v>
      </c>
      <c r="B8" s="22">
        <f>Inputs!B24</f>
        <v>0.25</v>
      </c>
      <c r="C8" s="22">
        <f>$L$8+($B$8-$L$8)/10*(10-C1)</f>
        <v>0.24299999999999999</v>
      </c>
      <c r="D8" s="22">
        <f t="shared" ref="D8:K8" si="4">$L$8+($B$8-$L$8)/10*(10-D1)</f>
        <v>0.23599999999999999</v>
      </c>
      <c r="E8" s="22">
        <f t="shared" si="4"/>
        <v>0.22900000000000001</v>
      </c>
      <c r="F8" s="22">
        <f t="shared" si="4"/>
        <v>0.222</v>
      </c>
      <c r="G8" s="22">
        <f t="shared" si="4"/>
        <v>0.215</v>
      </c>
      <c r="H8" s="22">
        <f t="shared" si="4"/>
        <v>0.20799999999999999</v>
      </c>
      <c r="I8" s="22">
        <f t="shared" si="4"/>
        <v>0.20100000000000001</v>
      </c>
      <c r="J8" s="22">
        <f t="shared" si="4"/>
        <v>0.19400000000000001</v>
      </c>
      <c r="K8" s="22">
        <f t="shared" si="4"/>
        <v>0.187</v>
      </c>
      <c r="L8" s="22">
        <f>IF(Inputs!B35="Yes",Inputs!B34,Inputs!B24)</f>
        <v>0.18</v>
      </c>
      <c r="M8" s="24">
        <f>L8</f>
        <v>0.18</v>
      </c>
    </row>
    <row r="9" spans="1:15">
      <c r="A9" s="2" t="s">
        <v>15</v>
      </c>
      <c r="B9" s="61">
        <f>B7*Inputs!$B$24</f>
        <v>338</v>
      </c>
      <c r="C9" s="61">
        <f>IF(C7&lt;0,0,(C7-C35)*C8)</f>
        <v>596.1502311365698</v>
      </c>
      <c r="D9" s="61">
        <f>IF(D7&lt;0,0,(D7-D35)*D8)</f>
        <v>906.71093914875996</v>
      </c>
      <c r="E9" s="61">
        <f>IF(E7&lt;0,0,(E7-E35)*E8)</f>
        <v>1263.0736700728303</v>
      </c>
      <c r="F9" s="61">
        <f>IF(F7&lt;0,0,(F7-F35)*F8)</f>
        <v>1462.2603696750743</v>
      </c>
      <c r="G9" s="61">
        <f t="shared" ref="G9:L9" si="5">IF(G7&lt;0,0,IF(G7&gt;G35,(G7-G35)*G8,0))</f>
        <v>1645.1188888946901</v>
      </c>
      <c r="H9" s="61">
        <f t="shared" si="5"/>
        <v>1815.1764153678582</v>
      </c>
      <c r="I9" s="61">
        <f t="shared" si="5"/>
        <v>1969.7454818604976</v>
      </c>
      <c r="J9" s="61">
        <f t="shared" si="5"/>
        <v>2108.8715260150202</v>
      </c>
      <c r="K9" s="61">
        <f t="shared" si="5"/>
        <v>2232.6000192002443</v>
      </c>
      <c r="L9" s="61">
        <f t="shared" si="5"/>
        <v>2340.9764665261741</v>
      </c>
      <c r="M9" s="61">
        <f>M7*M8</f>
        <v>2341.3759653311995</v>
      </c>
    </row>
    <row r="10" spans="1:15">
      <c r="A10" s="2" t="s">
        <v>16</v>
      </c>
      <c r="B10" s="61">
        <f>B7-B9</f>
        <v>1014</v>
      </c>
      <c r="C10" s="61">
        <f>C7-C9</f>
        <v>1857.1429011126888</v>
      </c>
      <c r="D10" s="61">
        <f t="shared" ref="D10:L10" si="6">D7-D9</f>
        <v>2935.2845657188673</v>
      </c>
      <c r="E10" s="61">
        <f t="shared" si="6"/>
        <v>4252.5318760967339</v>
      </c>
      <c r="F10" s="61">
        <f t="shared" si="6"/>
        <v>5124.49805228472</v>
      </c>
      <c r="G10" s="61">
        <f t="shared" si="6"/>
        <v>6006.5968734061944</v>
      </c>
      <c r="H10" s="61">
        <f t="shared" si="6"/>
        <v>6911.6332739006921</v>
      </c>
      <c r="I10" s="61">
        <f t="shared" si="6"/>
        <v>7829.9832836146152</v>
      </c>
      <c r="J10" s="61">
        <f t="shared" si="6"/>
        <v>8761.6002575675575</v>
      </c>
      <c r="K10" s="61">
        <f t="shared" si="6"/>
        <v>9706.4375166299378</v>
      </c>
      <c r="L10" s="61">
        <f t="shared" si="6"/>
        <v>10664.448347508127</v>
      </c>
      <c r="M10" s="61">
        <f>M7-M9</f>
        <v>10666.268286508799</v>
      </c>
    </row>
    <row r="11" spans="1:15">
      <c r="A11" s="2" t="s">
        <v>50</v>
      </c>
      <c r="B11" s="48"/>
      <c r="C11" s="48">
        <v>5</v>
      </c>
      <c r="D11" s="48">
        <f>Inputs!B18</f>
        <v>2</v>
      </c>
      <c r="E11" s="48">
        <f t="shared" ref="E11:L11" si="7">D11</f>
        <v>2</v>
      </c>
      <c r="F11" s="48">
        <f t="shared" si="7"/>
        <v>2</v>
      </c>
      <c r="G11" s="48">
        <f t="shared" si="7"/>
        <v>2</v>
      </c>
      <c r="H11" s="48">
        <f t="shared" si="7"/>
        <v>2</v>
      </c>
      <c r="I11" s="48">
        <f t="shared" si="7"/>
        <v>2</v>
      </c>
      <c r="J11" s="48">
        <f t="shared" si="7"/>
        <v>2</v>
      </c>
      <c r="K11" s="48">
        <f t="shared" si="7"/>
        <v>2</v>
      </c>
      <c r="L11" s="48">
        <f t="shared" si="7"/>
        <v>2</v>
      </c>
      <c r="M11" s="46"/>
    </row>
    <row r="12" spans="1:15">
      <c r="A12" s="2" t="s">
        <v>17</v>
      </c>
      <c r="B12" s="42"/>
      <c r="C12" s="61">
        <f>(C5-B5)/C11</f>
        <v>871.89901706216222</v>
      </c>
      <c r="D12" s="61">
        <f t="shared" ref="D12:L12" si="8">(D5-C5)/D11</f>
        <v>2167.2220514776809</v>
      </c>
      <c r="E12" s="61">
        <f t="shared" si="8"/>
        <v>2154.7414982060418</v>
      </c>
      <c r="F12" s="61">
        <f t="shared" si="8"/>
        <v>2142.3057515804594</v>
      </c>
      <c r="G12" s="61">
        <f t="shared" si="8"/>
        <v>2129.9146806821809</v>
      </c>
      <c r="H12" s="61">
        <f t="shared" si="8"/>
        <v>2150.1878539353311</v>
      </c>
      <c r="I12" s="61">
        <f t="shared" si="8"/>
        <v>2145.8381524131255</v>
      </c>
      <c r="J12" s="61">
        <f t="shared" si="8"/>
        <v>2141.4860362149302</v>
      </c>
      <c r="K12" s="61">
        <f t="shared" si="8"/>
        <v>2137.1315044952098</v>
      </c>
      <c r="L12" s="61">
        <f t="shared" si="8"/>
        <v>2132.7745564082361</v>
      </c>
      <c r="M12" s="61">
        <f>M10*(Inputs!B33/Valuation!M19)</f>
        <v>6546.422160844776</v>
      </c>
      <c r="O12" s="58"/>
    </row>
    <row r="13" spans="1:15">
      <c r="A13" s="2" t="s">
        <v>18</v>
      </c>
      <c r="B13" s="42"/>
      <c r="C13" s="61">
        <f>C10-C12</f>
        <v>985.24388405052662</v>
      </c>
      <c r="D13" s="61">
        <f t="shared" ref="D13:L13" si="9">D10-D12</f>
        <v>768.06251424118636</v>
      </c>
      <c r="E13" s="61">
        <f t="shared" si="9"/>
        <v>2097.7903778906921</v>
      </c>
      <c r="F13" s="61">
        <f t="shared" si="9"/>
        <v>2982.1923007042606</v>
      </c>
      <c r="G13" s="61">
        <f t="shared" si="9"/>
        <v>3876.6821927240135</v>
      </c>
      <c r="H13" s="61">
        <f t="shared" si="9"/>
        <v>4761.445419965361</v>
      </c>
      <c r="I13" s="61">
        <f t="shared" si="9"/>
        <v>5684.1451312014897</v>
      </c>
      <c r="J13" s="61">
        <f t="shared" si="9"/>
        <v>6620.1142213526273</v>
      </c>
      <c r="K13" s="61">
        <f t="shared" si="9"/>
        <v>7569.306012134728</v>
      </c>
      <c r="L13" s="61">
        <f t="shared" si="9"/>
        <v>8531.6737910998909</v>
      </c>
      <c r="M13" s="61">
        <f>M10-M12</f>
        <v>4119.846125664023</v>
      </c>
      <c r="O13" s="58"/>
    </row>
    <row r="14" spans="1:15">
      <c r="A14" s="2" t="s">
        <v>30</v>
      </c>
      <c r="B14" s="42"/>
      <c r="C14" s="61"/>
      <c r="D14" s="61"/>
      <c r="E14" s="61"/>
      <c r="F14" s="61"/>
      <c r="G14" s="61"/>
      <c r="H14" s="61"/>
      <c r="I14" s="61"/>
      <c r="J14" s="61"/>
      <c r="K14" s="61"/>
      <c r="L14" s="61">
        <f>M13/(L17-Inputs!B33)</f>
        <v>161880.00493768262</v>
      </c>
      <c r="M14" s="62"/>
      <c r="O14" s="58"/>
    </row>
    <row r="15" spans="1:15">
      <c r="A15" s="2" t="s">
        <v>39</v>
      </c>
      <c r="B15" s="42"/>
      <c r="C15" s="61">
        <f>C13/C18</f>
        <v>896.40968433311491</v>
      </c>
      <c r="D15" s="61">
        <f t="shared" ref="D15:L15" si="10">D13/D18</f>
        <v>635.80238674960117</v>
      </c>
      <c r="E15" s="61">
        <f t="shared" si="10"/>
        <v>1579.975910643846</v>
      </c>
      <c r="F15" s="61">
        <f t="shared" si="10"/>
        <v>2043.5572699471563</v>
      </c>
      <c r="G15" s="61">
        <f t="shared" si="10"/>
        <v>2416.9861401675234</v>
      </c>
      <c r="H15" s="61">
        <f t="shared" si="10"/>
        <v>2700.9438965933687</v>
      </c>
      <c r="I15" s="61">
        <f t="shared" si="10"/>
        <v>2933.6257095129135</v>
      </c>
      <c r="J15" s="61">
        <f t="shared" si="10"/>
        <v>3108.6213094403238</v>
      </c>
      <c r="K15" s="61">
        <f t="shared" si="10"/>
        <v>3233.8598356092421</v>
      </c>
      <c r="L15" s="61">
        <f t="shared" si="10"/>
        <v>3316.3637788471169</v>
      </c>
      <c r="M15" s="62"/>
      <c r="O15" s="58"/>
    </row>
    <row r="16" spans="1:15">
      <c r="A16" s="2" t="s">
        <v>40</v>
      </c>
      <c r="B16" s="42"/>
      <c r="C16" s="61"/>
      <c r="D16" s="61"/>
      <c r="E16" s="61"/>
      <c r="F16" s="61"/>
      <c r="G16" s="61"/>
      <c r="H16" s="61"/>
      <c r="I16" s="61"/>
      <c r="J16" s="61"/>
      <c r="K16" s="61"/>
      <c r="L16" s="61">
        <f>L14/L18</f>
        <v>62924.696611696498</v>
      </c>
      <c r="M16" s="62"/>
      <c r="O16" s="58"/>
    </row>
    <row r="17" spans="1:13">
      <c r="A17" s="2" t="s">
        <v>19</v>
      </c>
      <c r="B17" s="22">
        <f>Inputs!B27</f>
        <v>9.9099999999999994E-2</v>
      </c>
      <c r="C17" s="24">
        <f>B17</f>
        <v>9.9099999999999994E-2</v>
      </c>
      <c r="D17" s="24">
        <f>C17</f>
        <v>9.9099999999999994E-2</v>
      </c>
      <c r="E17" s="24">
        <f>D17</f>
        <v>9.9099999999999994E-2</v>
      </c>
      <c r="F17" s="24">
        <f>E17</f>
        <v>9.9099999999999994E-2</v>
      </c>
      <c r="G17" s="24">
        <f>F17</f>
        <v>9.9099999999999994E-2</v>
      </c>
      <c r="H17" s="24">
        <f>$L$17+(($G$17-$L$17)/5)*(10-H1)</f>
        <v>9.9099999999999994E-2</v>
      </c>
      <c r="I17" s="24">
        <f>$L$17+(($G$17-$L$17)/5)*(10-I1)</f>
        <v>9.9099999999999994E-2</v>
      </c>
      <c r="J17" s="24">
        <f>$L$17+(($G$17-$L$17)/5)*(10-J1)</f>
        <v>9.9099999999999994E-2</v>
      </c>
      <c r="K17" s="24">
        <f>$L$17+(($G$17-$L$17)/5)*(10-K1)</f>
        <v>9.9099999999999994E-2</v>
      </c>
      <c r="L17" s="22">
        <f>Inputs!B29</f>
        <v>9.9099999999999994E-2</v>
      </c>
    </row>
    <row r="18" spans="1:13" ht="16.2" thickBot="1">
      <c r="A18" s="2" t="s">
        <v>27</v>
      </c>
      <c r="B18" s="42"/>
      <c r="C18" s="49">
        <f>(1+C17)</f>
        <v>1.0991</v>
      </c>
      <c r="D18" s="49">
        <f>C18*(1+D17)</f>
        <v>1.2080208099999998</v>
      </c>
      <c r="E18" s="49">
        <f t="shared" ref="E18:L18" si="11">D18*(1+E17)</f>
        <v>1.3277356722709999</v>
      </c>
      <c r="F18" s="49">
        <f t="shared" si="11"/>
        <v>1.4593142773930559</v>
      </c>
      <c r="G18" s="49">
        <f t="shared" si="11"/>
        <v>1.6039323222827075</v>
      </c>
      <c r="H18" s="49">
        <f t="shared" si="11"/>
        <v>1.7628820154209237</v>
      </c>
      <c r="I18" s="49">
        <f t="shared" si="11"/>
        <v>1.9375836231491372</v>
      </c>
      <c r="J18" s="49">
        <f t="shared" si="11"/>
        <v>2.1295981602032166</v>
      </c>
      <c r="K18" s="49">
        <f t="shared" si="11"/>
        <v>2.3406413378793554</v>
      </c>
      <c r="L18" s="49">
        <f t="shared" si="11"/>
        <v>2.5725988944631992</v>
      </c>
    </row>
    <row r="19" spans="1:13" ht="16.2" thickBot="1">
      <c r="A19" s="2" t="s">
        <v>32</v>
      </c>
      <c r="M19" s="50">
        <f>IF(Inputs!B31="Match the best (ROIC=40%)",40%,IF(Inputs!B31="90th percentile (ROIC=25%)",25%,IF(Inputs!B31="75th percentile (ROIC=20%)",20%,IF(Inputs!B31="50th percentile (ROIC=12%)",12%,IF(Inputs!B31="10th percentile (ROIC =5.00%)",5%,Valuation!L17)))))</f>
        <v>0.12</v>
      </c>
    </row>
    <row r="21" spans="1:13">
      <c r="A21" s="2" t="s">
        <v>33</v>
      </c>
      <c r="B21" s="61">
        <f>SUM(C15:L15)</f>
        <v>22866.145921844203</v>
      </c>
    </row>
    <row r="22" spans="1:13">
      <c r="A22" s="2" t="s">
        <v>34</v>
      </c>
      <c r="B22" s="61">
        <f>L16</f>
        <v>62924.696611696498</v>
      </c>
    </row>
    <row r="23" spans="1:13">
      <c r="A23" s="2" t="s">
        <v>35</v>
      </c>
      <c r="B23" s="61">
        <f>B21+B22</f>
        <v>85790.842533540708</v>
      </c>
    </row>
    <row r="24" spans="1:13">
      <c r="A24" s="2" t="s">
        <v>36</v>
      </c>
      <c r="B24" s="23">
        <f>Inputs!B30</f>
        <v>0.1</v>
      </c>
    </row>
    <row r="25" spans="1:13">
      <c r="A25" s="2" t="s">
        <v>37</v>
      </c>
      <c r="B25" s="61">
        <f>B23*(1-B24)</f>
        <v>77211.758280186637</v>
      </c>
    </row>
    <row r="26" spans="1:13">
      <c r="A26" s="2" t="s">
        <v>174</v>
      </c>
      <c r="B26" s="61">
        <f>Inputs!B37</f>
        <v>8074.82</v>
      </c>
    </row>
    <row r="27" spans="1:13">
      <c r="A27" s="2" t="s">
        <v>190</v>
      </c>
      <c r="B27" s="61">
        <f>Inputs!B39</f>
        <v>0</v>
      </c>
      <c r="J27" s="9"/>
    </row>
    <row r="28" spans="1:13">
      <c r="A28" s="2" t="s">
        <v>175</v>
      </c>
      <c r="B28" s="61">
        <f>B25+B26+B27</f>
        <v>85286.57828018663</v>
      </c>
    </row>
    <row r="29" spans="1:13">
      <c r="A29" s="2" t="s">
        <v>191</v>
      </c>
      <c r="B29" s="61">
        <f>Inputs!B40</f>
        <v>3128</v>
      </c>
    </row>
    <row r="30" spans="1:13">
      <c r="A30" s="2" t="s">
        <v>192</v>
      </c>
      <c r="B30" s="61">
        <f>B28-B29</f>
        <v>82158.57828018663</v>
      </c>
    </row>
    <row r="31" spans="1:13">
      <c r="A31" s="2" t="s">
        <v>358</v>
      </c>
      <c r="B31" s="61">
        <f ca="1">'Option value'!D27</f>
        <v>11531.630068484656</v>
      </c>
    </row>
    <row r="32" spans="1:13">
      <c r="A32" s="2" t="s">
        <v>187</v>
      </c>
      <c r="B32" s="48">
        <f>Inputs!B42+Inputs!B39/Inputs!B41</f>
        <v>880</v>
      </c>
    </row>
    <row r="33" spans="1:12">
      <c r="A33" s="2" t="s">
        <v>188</v>
      </c>
      <c r="B33" s="60">
        <f ca="1">(B30-B31)/B32</f>
        <v>80.257895695115891</v>
      </c>
    </row>
    <row r="35" spans="1:12">
      <c r="A35" s="2" t="s">
        <v>247</v>
      </c>
      <c r="B35" s="54"/>
      <c r="C35" s="54">
        <f>Inputs!B38</f>
        <v>0</v>
      </c>
      <c r="D35" s="54">
        <f t="shared" ref="D35:L35" si="12">IF(C35-C7&lt;0,0,C35-C7)</f>
        <v>0</v>
      </c>
      <c r="E35" s="54">
        <f t="shared" si="12"/>
        <v>0</v>
      </c>
      <c r="F35" s="54">
        <f t="shared" si="12"/>
        <v>0</v>
      </c>
      <c r="G35" s="54">
        <f t="shared" si="12"/>
        <v>0</v>
      </c>
      <c r="H35" s="54">
        <f t="shared" si="12"/>
        <v>0</v>
      </c>
      <c r="I35" s="54">
        <f t="shared" si="12"/>
        <v>0</v>
      </c>
      <c r="J35" s="54">
        <f t="shared" si="12"/>
        <v>0</v>
      </c>
      <c r="K35" s="54">
        <f t="shared" si="12"/>
        <v>0</v>
      </c>
      <c r="L35" s="54">
        <f t="shared" si="12"/>
        <v>0</v>
      </c>
    </row>
  </sheetData>
  <pageMargins left="0.75" right="0.75" top="1" bottom="1" header="0.5" footer="0.5"/>
  <pageSetup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7"/>
  <sheetViews>
    <sheetView topLeftCell="A68" workbookViewId="0">
      <selection activeCell="B1" sqref="B1"/>
    </sheetView>
  </sheetViews>
  <sheetFormatPr defaultColWidth="11.19921875" defaultRowHeight="15.6"/>
  <cols>
    <col min="1" max="1" width="30.59765625" bestFit="1" customWidth="1"/>
    <col min="2" max="2" width="11.5" bestFit="1" customWidth="1"/>
    <col min="3" max="3" width="9.5" bestFit="1" customWidth="1"/>
    <col min="4" max="4" width="11.796875" bestFit="1" customWidth="1"/>
    <col min="5" max="5" width="12.5" customWidth="1"/>
    <col min="6" max="6" width="10.5" bestFit="1" customWidth="1"/>
    <col min="7" max="7" width="11.5" bestFit="1" customWidth="1"/>
    <col min="8" max="8" width="22.5" bestFit="1" customWidth="1"/>
  </cols>
  <sheetData>
    <row r="1" spans="1:27" ht="58.2">
      <c r="A1" s="108" t="s">
        <v>196</v>
      </c>
      <c r="B1" s="109" t="s">
        <v>51</v>
      </c>
      <c r="C1" s="110" t="s">
        <v>52</v>
      </c>
      <c r="D1" s="110" t="s">
        <v>197</v>
      </c>
      <c r="E1" s="110" t="s">
        <v>198</v>
      </c>
      <c r="F1" s="109" t="s">
        <v>53</v>
      </c>
      <c r="G1" s="109" t="s">
        <v>199</v>
      </c>
      <c r="H1" s="109" t="s">
        <v>200</v>
      </c>
      <c r="I1" s="109" t="s">
        <v>201</v>
      </c>
      <c r="J1" s="109" t="s">
        <v>202</v>
      </c>
      <c r="K1" s="109" t="s">
        <v>203</v>
      </c>
      <c r="L1" s="109" t="s">
        <v>204</v>
      </c>
      <c r="M1" s="109" t="s">
        <v>19</v>
      </c>
      <c r="N1" s="111" t="s">
        <v>131</v>
      </c>
      <c r="O1" s="109" t="s">
        <v>54</v>
      </c>
      <c r="P1" s="109" t="s">
        <v>205</v>
      </c>
      <c r="Q1" s="109" t="s">
        <v>206</v>
      </c>
      <c r="R1" s="109" t="s">
        <v>207</v>
      </c>
      <c r="S1" s="109" t="s">
        <v>208</v>
      </c>
      <c r="T1" s="109" t="s">
        <v>209</v>
      </c>
      <c r="U1" s="109" t="s">
        <v>210</v>
      </c>
      <c r="V1" s="109" t="s">
        <v>211</v>
      </c>
      <c r="W1" s="109" t="s">
        <v>212</v>
      </c>
      <c r="X1" s="108" t="s">
        <v>213</v>
      </c>
      <c r="Y1" s="108" t="s">
        <v>214</v>
      </c>
      <c r="Z1" s="108" t="s">
        <v>215</v>
      </c>
      <c r="AA1" s="109" t="s">
        <v>361</v>
      </c>
    </row>
    <row r="2" spans="1:27">
      <c r="A2" s="112" t="s">
        <v>55</v>
      </c>
      <c r="B2" s="113">
        <v>61</v>
      </c>
      <c r="C2" s="114">
        <v>8.3145999999999984E-2</v>
      </c>
      <c r="D2" s="114">
        <v>9.9789829114715373E-2</v>
      </c>
      <c r="E2" s="114">
        <v>0.51511899517002169</v>
      </c>
      <c r="F2" s="114">
        <v>0.21473754602683312</v>
      </c>
      <c r="G2" s="115">
        <v>0.77440940100409716</v>
      </c>
      <c r="H2" s="115">
        <v>1.0763167747709843</v>
      </c>
      <c r="I2" s="114">
        <v>6.0102151769190454E-2</v>
      </c>
      <c r="J2" s="114">
        <v>0.57736350263470748</v>
      </c>
      <c r="K2" s="114">
        <v>2.9980000000000003E-2</v>
      </c>
      <c r="L2" s="114">
        <v>0.43662351234955638</v>
      </c>
      <c r="M2" s="114">
        <v>4.3415819381135402E-2</v>
      </c>
      <c r="N2" s="115">
        <v>5.1689336631467704</v>
      </c>
      <c r="O2" s="115">
        <v>1.8279748463952663</v>
      </c>
      <c r="P2" s="115">
        <v>8.8603141590353722</v>
      </c>
      <c r="Q2" s="115">
        <v>16.081323674363535</v>
      </c>
      <c r="R2" s="115">
        <v>5.7295817594235814</v>
      </c>
      <c r="S2" s="115">
        <v>45.375202628511474</v>
      </c>
      <c r="T2" s="114">
        <v>-5.7458589075799257E-3</v>
      </c>
      <c r="U2" s="114">
        <v>1.7499969307145761E-2</v>
      </c>
      <c r="V2" s="114">
        <v>-1.911835966362643E-2</v>
      </c>
      <c r="W2" s="114">
        <v>-0.31670613154939664</v>
      </c>
      <c r="X2" s="114">
        <v>2.933270644878155E-2</v>
      </c>
      <c r="Y2" s="114">
        <v>9.1284744623045526</v>
      </c>
      <c r="Z2" s="114">
        <v>9.1284744623045526</v>
      </c>
      <c r="AA2" s="116">
        <v>0.10312282984536096</v>
      </c>
    </row>
    <row r="3" spans="1:27">
      <c r="A3" s="112" t="s">
        <v>56</v>
      </c>
      <c r="B3" s="113">
        <v>72</v>
      </c>
      <c r="C3" s="114">
        <v>5.2835581395348837E-2</v>
      </c>
      <c r="D3" s="114">
        <v>7.5558241055426426E-2</v>
      </c>
      <c r="E3" s="114">
        <v>0.19114875013013879</v>
      </c>
      <c r="F3" s="114">
        <v>0.2462174246147118</v>
      </c>
      <c r="G3" s="115">
        <v>0.91241124694588971</v>
      </c>
      <c r="H3" s="115">
        <v>1.0654116800938749</v>
      </c>
      <c r="I3" s="114">
        <v>5.9587431300430899E-2</v>
      </c>
      <c r="J3" s="114">
        <v>0.34892933167879187</v>
      </c>
      <c r="K3" s="114">
        <v>2.58E-2</v>
      </c>
      <c r="L3" s="114">
        <v>0.24839853323369193</v>
      </c>
      <c r="M3" s="114">
        <v>4.9464338741163828E-2</v>
      </c>
      <c r="N3" s="115">
        <v>2.6059878759822079</v>
      </c>
      <c r="O3" s="115">
        <v>2.0117675852403769</v>
      </c>
      <c r="P3" s="115">
        <v>12.152653123863544</v>
      </c>
      <c r="Q3" s="115">
        <v>20.31000758159399</v>
      </c>
      <c r="R3" s="115">
        <v>4.4369249163522966</v>
      </c>
      <c r="S3" s="115">
        <v>107.38396177092393</v>
      </c>
      <c r="T3" s="114">
        <v>0.43564008525480985</v>
      </c>
      <c r="U3" s="114">
        <v>2.7682925662515925E-2</v>
      </c>
      <c r="V3" s="114">
        <v>-1.3339522457738126E-2</v>
      </c>
      <c r="W3" s="114">
        <v>0.36932242726066256</v>
      </c>
      <c r="X3" s="114">
        <v>8.5431888037559259E-2</v>
      </c>
      <c r="Y3" s="114">
        <v>1.2055159190772029</v>
      </c>
      <c r="Z3" s="114">
        <v>1.2055159190772029</v>
      </c>
      <c r="AA3" s="116">
        <v>7.8922121292331296E-2</v>
      </c>
    </row>
    <row r="4" spans="1:27">
      <c r="A4" s="112" t="s">
        <v>57</v>
      </c>
      <c r="B4" s="113">
        <v>17</v>
      </c>
      <c r="C4" s="114">
        <v>-6.8229166666666674E-2</v>
      </c>
      <c r="D4" s="114">
        <v>-0.18990613897691269</v>
      </c>
      <c r="E4" s="114">
        <v>-0.16065422687831812</v>
      </c>
      <c r="F4" s="114">
        <v>0.88757788161993767</v>
      </c>
      <c r="G4" s="115">
        <v>0.91962216692893717</v>
      </c>
      <c r="H4" s="115">
        <v>1.6081637004838845</v>
      </c>
      <c r="I4" s="114">
        <v>8.5205326662839351E-2</v>
      </c>
      <c r="J4" s="114">
        <v>0.46150789583439999</v>
      </c>
      <c r="K4" s="114">
        <v>2.9980000000000003E-2</v>
      </c>
      <c r="L4" s="114">
        <v>0.6173848737990707</v>
      </c>
      <c r="M4" s="114">
        <v>4.611256173113587E-2</v>
      </c>
      <c r="N4" s="115">
        <v>0.8832377145018504</v>
      </c>
      <c r="O4" s="115">
        <v>1.9728015748703169</v>
      </c>
      <c r="P4" s="115">
        <v>34.425447646964919</v>
      </c>
      <c r="Q4" s="115" t="s">
        <v>160</v>
      </c>
      <c r="R4" s="115">
        <v>3.2241497108473678</v>
      </c>
      <c r="S4" s="115">
        <v>13.467519539284243</v>
      </c>
      <c r="T4" s="114">
        <v>1.7044401390725925E-2</v>
      </c>
      <c r="U4" s="114">
        <v>0.11832919205455525</v>
      </c>
      <c r="V4" s="114">
        <v>1.7990003600578661E-2</v>
      </c>
      <c r="W4" s="114" t="s">
        <v>160</v>
      </c>
      <c r="X4" s="114">
        <v>-0.4702685391404543</v>
      </c>
      <c r="Y4" s="114">
        <v>8.6425339366515846E-4</v>
      </c>
      <c r="Z4" s="114">
        <v>8.6425339366513754E-4</v>
      </c>
      <c r="AA4" s="116">
        <v>-0.19351804720218629</v>
      </c>
    </row>
    <row r="5" spans="1:27">
      <c r="A5" s="112" t="s">
        <v>58</v>
      </c>
      <c r="B5" s="113">
        <v>51</v>
      </c>
      <c r="C5" s="114">
        <v>-3.5553103448275863E-2</v>
      </c>
      <c r="D5" s="114">
        <v>5.4872250559461794E-2</v>
      </c>
      <c r="E5" s="114">
        <v>7.5422560682575066E-2</v>
      </c>
      <c r="F5" s="114">
        <v>0.31409907935116183</v>
      </c>
      <c r="G5" s="115">
        <v>0.94136329045620115</v>
      </c>
      <c r="H5" s="115">
        <v>1.0982186127658942</v>
      </c>
      <c r="I5" s="114">
        <v>6.1135918522550209E-2</v>
      </c>
      <c r="J5" s="114">
        <v>0.4784359487657423</v>
      </c>
      <c r="K5" s="114">
        <v>2.9980000000000003E-2</v>
      </c>
      <c r="L5" s="114">
        <v>0.2825836395818197</v>
      </c>
      <c r="M5" s="114">
        <v>5.0044364142974342E-2</v>
      </c>
      <c r="N5" s="115">
        <v>1.3391307059586217</v>
      </c>
      <c r="O5" s="115">
        <v>2.0258437620692398</v>
      </c>
      <c r="P5" s="115">
        <v>14.688666444402248</v>
      </c>
      <c r="Q5" s="115">
        <v>33.976254544925858</v>
      </c>
      <c r="R5" s="115">
        <v>4.1116941014117891</v>
      </c>
      <c r="S5" s="115">
        <v>22.761750232250616</v>
      </c>
      <c r="T5" s="114">
        <v>0.24962264547366317</v>
      </c>
      <c r="U5" s="114">
        <v>2.5172142610807156E-2</v>
      </c>
      <c r="V5" s="114">
        <v>1.5531388063582379E-3</v>
      </c>
      <c r="W5" s="114">
        <v>-1.4672262647921706</v>
      </c>
      <c r="X5" s="114">
        <v>-8.1880966319079887E-2</v>
      </c>
      <c r="Y5" s="114">
        <v>3.2452691540632338E-3</v>
      </c>
      <c r="Z5" s="114">
        <v>3.2452691540632017E-3</v>
      </c>
      <c r="AA5" s="116">
        <v>5.913857501245369E-2</v>
      </c>
    </row>
    <row r="6" spans="1:27">
      <c r="A6" s="112" t="s">
        <v>59</v>
      </c>
      <c r="B6" s="113">
        <v>19</v>
      </c>
      <c r="C6" s="114">
        <v>0.12191666666666669</v>
      </c>
      <c r="D6" s="114">
        <v>1.9333508605592183E-2</v>
      </c>
      <c r="E6" s="114">
        <v>1.1709090822045768E-2</v>
      </c>
      <c r="F6" s="114">
        <v>0.28480567682019586</v>
      </c>
      <c r="G6" s="115">
        <v>1.0499991719428035</v>
      </c>
      <c r="H6" s="115">
        <v>1.2828255283085925</v>
      </c>
      <c r="I6" s="114">
        <v>6.9849364936165559E-2</v>
      </c>
      <c r="J6" s="114">
        <v>0.4523696418680257</v>
      </c>
      <c r="K6" s="114">
        <v>2.9980000000000003E-2</v>
      </c>
      <c r="L6" s="114">
        <v>0.27884069904614261</v>
      </c>
      <c r="M6" s="114">
        <v>5.6475059424340487E-2</v>
      </c>
      <c r="N6" s="115">
        <v>0.74270416628693647</v>
      </c>
      <c r="O6" s="115">
        <v>3.5828402796043126</v>
      </c>
      <c r="P6" s="115">
        <v>45.729895275109342</v>
      </c>
      <c r="Q6" s="115">
        <v>177.76001060289539</v>
      </c>
      <c r="R6" s="115">
        <v>7.5787617041221038</v>
      </c>
      <c r="S6" s="115">
        <v>261.55986156714147</v>
      </c>
      <c r="T6" s="114">
        <v>-6.9391402102976452E-2</v>
      </c>
      <c r="U6" s="114">
        <v>0.10244391023130034</v>
      </c>
      <c r="V6" s="114">
        <v>4.6115116875564834E-2</v>
      </c>
      <c r="W6" s="114">
        <v>1.8440271694624273</v>
      </c>
      <c r="X6" s="114">
        <v>4.4885246411493003E-2</v>
      </c>
      <c r="Y6" s="114">
        <v>0.64579934346313383</v>
      </c>
      <c r="Z6" s="114">
        <v>0.64579934346313383</v>
      </c>
      <c r="AA6" s="116">
        <v>1.7332793035688888E-2</v>
      </c>
    </row>
    <row r="7" spans="1:27">
      <c r="A7" s="112" t="s">
        <v>60</v>
      </c>
      <c r="B7" s="113">
        <v>52</v>
      </c>
      <c r="C7" s="114">
        <v>4.0210357142857145E-2</v>
      </c>
      <c r="D7" s="114">
        <v>4.0098862762102311E-2</v>
      </c>
      <c r="E7" s="114">
        <v>6.4586539004928167E-2</v>
      </c>
      <c r="F7" s="114">
        <v>0.32645234056176436</v>
      </c>
      <c r="G7" s="115">
        <v>1.0938111386841938</v>
      </c>
      <c r="H7" s="115">
        <v>1.2034979086361026</v>
      </c>
      <c r="I7" s="114">
        <v>6.6105101287624035E-2</v>
      </c>
      <c r="J7" s="114">
        <v>0.43164927127684694</v>
      </c>
      <c r="K7" s="114">
        <v>2.9980000000000003E-2</v>
      </c>
      <c r="L7" s="114">
        <v>0.19595454549627142</v>
      </c>
      <c r="M7" s="114">
        <v>5.7440049819826783E-2</v>
      </c>
      <c r="N7" s="115">
        <v>1.8223436646890339</v>
      </c>
      <c r="O7" s="115">
        <v>1.5973947047834025</v>
      </c>
      <c r="P7" s="115">
        <v>10.069787934462136</v>
      </c>
      <c r="Q7" s="115">
        <v>23.282397038125321</v>
      </c>
      <c r="R7" s="115">
        <v>4.7756010350026017</v>
      </c>
      <c r="S7" s="115">
        <v>55.564670951608257</v>
      </c>
      <c r="T7" s="114">
        <v>0.13841228389990334</v>
      </c>
      <c r="U7" s="114">
        <v>3.7112803450657622E-2</v>
      </c>
      <c r="V7" s="114">
        <v>2.087451364490318E-2</v>
      </c>
      <c r="W7" s="114">
        <v>0.3006946507706782</v>
      </c>
      <c r="X7" s="114">
        <v>-0.1431069277976672</v>
      </c>
      <c r="Y7" s="114">
        <v>4.182244008432757E-3</v>
      </c>
      <c r="Z7" s="114">
        <v>4.1822440084328116E-3</v>
      </c>
      <c r="AA7" s="116">
        <v>3.8507098235985353E-2</v>
      </c>
    </row>
    <row r="8" spans="1:27">
      <c r="A8" s="112" t="s">
        <v>216</v>
      </c>
      <c r="B8" s="113">
        <v>7</v>
      </c>
      <c r="C8" s="114">
        <v>-7.7683333333333328E-3</v>
      </c>
      <c r="D8" s="114">
        <v>0</v>
      </c>
      <c r="E8" s="114">
        <v>-1.3307855085708446E-4</v>
      </c>
      <c r="F8" s="114">
        <v>0.14043540086905243</v>
      </c>
      <c r="G8" s="115">
        <v>0.59847929046605686</v>
      </c>
      <c r="H8" s="115">
        <v>0.82770793546648558</v>
      </c>
      <c r="I8" s="114">
        <v>4.8367814554018118E-2</v>
      </c>
      <c r="J8" s="114">
        <v>0.21588164482905958</v>
      </c>
      <c r="K8" s="114">
        <v>1.9200000000000002E-2</v>
      </c>
      <c r="L8" s="114">
        <v>0.6837368986713982</v>
      </c>
      <c r="M8" s="114">
        <v>2.4880211407118772E-2</v>
      </c>
      <c r="N8" s="115">
        <v>0.14283525600359426</v>
      </c>
      <c r="O8" s="115">
        <v>5.3169845646763871</v>
      </c>
      <c r="P8" s="115" t="s">
        <v>160</v>
      </c>
      <c r="Q8" s="115" t="s">
        <v>160</v>
      </c>
      <c r="R8" s="115">
        <v>1.0031245608712027</v>
      </c>
      <c r="S8" s="115">
        <v>14.862679952459837</v>
      </c>
      <c r="T8" s="114" t="s">
        <v>160</v>
      </c>
      <c r="U8" s="114">
        <v>1.0567244136700984E-2</v>
      </c>
      <c r="V8" s="114">
        <v>1.0567244136700984E-2</v>
      </c>
      <c r="W8" s="114" t="s">
        <v>160</v>
      </c>
      <c r="X8" s="114">
        <v>7.4132086477827902E-2</v>
      </c>
      <c r="Y8" s="114">
        <v>0.46950068703493042</v>
      </c>
      <c r="Z8" s="114">
        <v>0.46950068703493042</v>
      </c>
      <c r="AA8" s="116">
        <v>-1.1112733946249372E-3</v>
      </c>
    </row>
    <row r="9" spans="1:27">
      <c r="A9" s="112" t="s">
        <v>61</v>
      </c>
      <c r="B9" s="113">
        <v>598</v>
      </c>
      <c r="C9" s="114">
        <v>8.8245971896955475E-2</v>
      </c>
      <c r="D9" s="114">
        <v>0</v>
      </c>
      <c r="E9" s="114">
        <v>-8.1055913299619379E-4</v>
      </c>
      <c r="F9" s="114">
        <v>0.18951592738394935</v>
      </c>
      <c r="G9" s="115">
        <v>0.60010859406587325</v>
      </c>
      <c r="H9" s="115">
        <v>0.64487469601072567</v>
      </c>
      <c r="I9" s="114">
        <v>3.9738085651706251E-2</v>
      </c>
      <c r="J9" s="114">
        <v>0.19483337104095139</v>
      </c>
      <c r="K9" s="114">
        <v>1.9200000000000002E-2</v>
      </c>
      <c r="L9" s="114">
        <v>0.37983637553849753</v>
      </c>
      <c r="M9" s="114">
        <v>2.9967901866471358E-2</v>
      </c>
      <c r="N9" s="115">
        <v>0.23930540909038422</v>
      </c>
      <c r="O9" s="115">
        <v>4.4727113990451093</v>
      </c>
      <c r="P9" s="115" t="s">
        <v>160</v>
      </c>
      <c r="Q9" s="115" t="s">
        <v>160</v>
      </c>
      <c r="R9" s="115">
        <v>1.0754982433128295</v>
      </c>
      <c r="S9" s="115">
        <v>15.385193908763318</v>
      </c>
      <c r="T9" s="114" t="s">
        <v>160</v>
      </c>
      <c r="U9" s="114">
        <v>4.3659040048152624E-2</v>
      </c>
      <c r="V9" s="114">
        <v>2.0083498513917483E-2</v>
      </c>
      <c r="W9" s="114" t="s">
        <v>160</v>
      </c>
      <c r="X9" s="114">
        <v>8.2163761240382077E-2</v>
      </c>
      <c r="Y9" s="114">
        <v>0.44352246904193238</v>
      </c>
      <c r="Z9" s="114">
        <v>0.44352246904193238</v>
      </c>
      <c r="AA9" s="116">
        <v>-4.0525423832215883E-3</v>
      </c>
    </row>
    <row r="10" spans="1:27">
      <c r="A10" s="112" t="s">
        <v>62</v>
      </c>
      <c r="B10" s="113">
        <v>23</v>
      </c>
      <c r="C10" s="114">
        <v>0.1439</v>
      </c>
      <c r="D10" s="114">
        <v>0.23874324286773871</v>
      </c>
      <c r="E10" s="114">
        <v>0.14430150625179838</v>
      </c>
      <c r="F10" s="114">
        <v>0.18356492728273902</v>
      </c>
      <c r="G10" s="115">
        <v>0.67603059283235478</v>
      </c>
      <c r="H10" s="115">
        <v>0.77826387505711703</v>
      </c>
      <c r="I10" s="114">
        <v>4.6034054902695923E-2</v>
      </c>
      <c r="J10" s="114">
        <v>0.37007991589511724</v>
      </c>
      <c r="K10" s="114">
        <v>2.58E-2</v>
      </c>
      <c r="L10" s="114">
        <v>0.18966662702601325</v>
      </c>
      <c r="M10" s="114">
        <v>4.0875112234379216E-2</v>
      </c>
      <c r="N10" s="115">
        <v>0.63934004304480485</v>
      </c>
      <c r="O10" s="115">
        <v>5.2995319513213071</v>
      </c>
      <c r="P10" s="115">
        <v>17.606214861939037</v>
      </c>
      <c r="Q10" s="115">
        <v>22.212937620161576</v>
      </c>
      <c r="R10" s="115">
        <v>3.450923356617885</v>
      </c>
      <c r="S10" s="115">
        <v>32.389619105867602</v>
      </c>
      <c r="T10" s="114">
        <v>0.15254713694240971</v>
      </c>
      <c r="U10" s="114">
        <v>6.3792244767965064E-2</v>
      </c>
      <c r="V10" s="114">
        <v>4.4906602485042947E-2</v>
      </c>
      <c r="W10" s="114">
        <v>0.24109615176253643</v>
      </c>
      <c r="X10" s="114">
        <v>0.10103219726606896</v>
      </c>
      <c r="Y10" s="114">
        <v>0.41579834097030699</v>
      </c>
      <c r="Z10" s="114">
        <v>0.41579834097030699</v>
      </c>
      <c r="AA10" s="116">
        <v>0.23840844026504482</v>
      </c>
    </row>
    <row r="11" spans="1:27">
      <c r="A11" s="112" t="s">
        <v>217</v>
      </c>
      <c r="B11" s="113">
        <v>41</v>
      </c>
      <c r="C11" s="114">
        <v>0.27074999999999999</v>
      </c>
      <c r="D11" s="114">
        <v>0.19977131401368578</v>
      </c>
      <c r="E11" s="114">
        <v>0.26736280212057489</v>
      </c>
      <c r="F11" s="114">
        <v>0.18600628389948448</v>
      </c>
      <c r="G11" s="115">
        <v>0.70745452707328993</v>
      </c>
      <c r="H11" s="115">
        <v>0.79126084460435242</v>
      </c>
      <c r="I11" s="114">
        <v>4.6647511865325439E-2</v>
      </c>
      <c r="J11" s="114">
        <v>0.49695045723950748</v>
      </c>
      <c r="K11" s="114">
        <v>2.9980000000000003E-2</v>
      </c>
      <c r="L11" s="114">
        <v>0.17763588521661611</v>
      </c>
      <c r="M11" s="114">
        <v>4.2248872204295476E-2</v>
      </c>
      <c r="N11" s="115">
        <v>1.3749583854286462</v>
      </c>
      <c r="O11" s="115">
        <v>5.0750689171479744</v>
      </c>
      <c r="P11" s="115">
        <v>20.735000117358791</v>
      </c>
      <c r="Q11" s="115">
        <v>25.222526693198947</v>
      </c>
      <c r="R11" s="115">
        <v>8.4963437734355374</v>
      </c>
      <c r="S11" s="115">
        <v>116.71720199086498</v>
      </c>
      <c r="T11" s="114">
        <v>-9.5445017230278817E-2</v>
      </c>
      <c r="U11" s="114">
        <v>5.416471074329389E-2</v>
      </c>
      <c r="V11" s="114">
        <v>7.4061711823084256E-2</v>
      </c>
      <c r="W11" s="114">
        <v>0.37008898503512788</v>
      </c>
      <c r="X11" s="114">
        <v>0.28857246266781789</v>
      </c>
      <c r="Y11" s="114">
        <v>0.7419292283670309</v>
      </c>
      <c r="Z11" s="114">
        <v>0.7419292283670309</v>
      </c>
      <c r="AA11" s="116">
        <v>0.20112830379322871</v>
      </c>
    </row>
    <row r="12" spans="1:27">
      <c r="A12" s="112" t="s">
        <v>63</v>
      </c>
      <c r="B12" s="113">
        <v>29</v>
      </c>
      <c r="C12" s="114">
        <v>5.7982999999999993E-2</v>
      </c>
      <c r="D12" s="114">
        <v>0.1929505932007099</v>
      </c>
      <c r="E12" s="114">
        <v>0.16921739618580592</v>
      </c>
      <c r="F12" s="114">
        <v>0.23160770260302921</v>
      </c>
      <c r="G12" s="115">
        <v>0.65336093647427396</v>
      </c>
      <c r="H12" s="115">
        <v>1.1290399914200455</v>
      </c>
      <c r="I12" s="114">
        <v>6.2590687595026145E-2</v>
      </c>
      <c r="J12" s="114">
        <v>0.45557616657732153</v>
      </c>
      <c r="K12" s="114">
        <v>2.9980000000000003E-2</v>
      </c>
      <c r="L12" s="114">
        <v>0.54897754439960667</v>
      </c>
      <c r="M12" s="114">
        <v>4.0244398767028927E-2</v>
      </c>
      <c r="N12" s="115">
        <v>0.97994599869273458</v>
      </c>
      <c r="O12" s="115">
        <v>2.0808035893696673</v>
      </c>
      <c r="P12" s="115">
        <v>7.8435943814345883</v>
      </c>
      <c r="Q12" s="115">
        <v>10.931193344849747</v>
      </c>
      <c r="R12" s="115">
        <v>1.5827116637449947</v>
      </c>
      <c r="S12" s="115">
        <v>12.419936016946153</v>
      </c>
      <c r="T12" s="114">
        <v>0.15711742011636806</v>
      </c>
      <c r="U12" s="114">
        <v>2.7447171351973422E-2</v>
      </c>
      <c r="V12" s="114">
        <v>-1.0518597030448126E-2</v>
      </c>
      <c r="W12" s="114">
        <v>1.1105642514742904</v>
      </c>
      <c r="X12" s="114">
        <v>2.3850206446309171E-3</v>
      </c>
      <c r="Y12" s="114">
        <v>1.6973796349178008E-3</v>
      </c>
      <c r="Z12" s="114">
        <v>1.6973796349177839E-3</v>
      </c>
      <c r="AA12" s="116">
        <v>0.19029743526881368</v>
      </c>
    </row>
    <row r="13" spans="1:27">
      <c r="A13" s="112" t="s">
        <v>64</v>
      </c>
      <c r="B13" s="113">
        <v>39</v>
      </c>
      <c r="C13" s="114">
        <v>9.5143478260869566E-2</v>
      </c>
      <c r="D13" s="114">
        <v>4.2120772815183076E-3</v>
      </c>
      <c r="E13" s="114">
        <v>-2.8929962113133283E-5</v>
      </c>
      <c r="F13" s="114">
        <v>0.22176459343610108</v>
      </c>
      <c r="G13" s="115">
        <v>0.57694201658669508</v>
      </c>
      <c r="H13" s="115">
        <v>1.1318381741280126</v>
      </c>
      <c r="I13" s="114">
        <v>6.272276181884219E-2</v>
      </c>
      <c r="J13" s="114">
        <v>0.35902793198659527</v>
      </c>
      <c r="K13" s="114">
        <v>2.58E-2</v>
      </c>
      <c r="L13" s="114">
        <v>0.6863989735519761</v>
      </c>
      <c r="M13" s="114">
        <v>3.2597560755921753E-2</v>
      </c>
      <c r="N13" s="115">
        <v>0.21596489089219734</v>
      </c>
      <c r="O13" s="115">
        <v>4.9306724537536955</v>
      </c>
      <c r="P13" s="115" t="s">
        <v>160</v>
      </c>
      <c r="Q13" s="115" t="s">
        <v>160</v>
      </c>
      <c r="R13" s="115">
        <v>1.5165540056877012</v>
      </c>
      <c r="S13" s="115">
        <v>82.198355424233498</v>
      </c>
      <c r="T13" s="114" t="s">
        <v>160</v>
      </c>
      <c r="U13" s="114">
        <v>5.2392768488402484E-2</v>
      </c>
      <c r="V13" s="114">
        <v>2.7448227056769928E-2</v>
      </c>
      <c r="W13" s="114" t="s">
        <v>160</v>
      </c>
      <c r="X13" s="114">
        <v>0.12076092974514126</v>
      </c>
      <c r="Y13" s="114">
        <v>0.20841894732278166</v>
      </c>
      <c r="Z13" s="114">
        <v>0.20841894732278166</v>
      </c>
      <c r="AA13" s="116">
        <v>-1.497195846546239E-4</v>
      </c>
    </row>
    <row r="14" spans="1:27">
      <c r="A14" s="112" t="s">
        <v>65</v>
      </c>
      <c r="B14" s="113">
        <v>42</v>
      </c>
      <c r="C14" s="114">
        <v>7.4732758620689649E-2</v>
      </c>
      <c r="D14" s="114">
        <v>0.10803949730457793</v>
      </c>
      <c r="E14" s="114">
        <v>0.24165694393891751</v>
      </c>
      <c r="F14" s="114">
        <v>0.26259827271827774</v>
      </c>
      <c r="G14" s="115">
        <v>0.9703551760346607</v>
      </c>
      <c r="H14" s="115">
        <v>1.0884900729483686</v>
      </c>
      <c r="I14" s="114">
        <v>6.0676731443163004E-2</v>
      </c>
      <c r="J14" s="114">
        <v>0.33993207104594719</v>
      </c>
      <c r="K14" s="114">
        <v>2.58E-2</v>
      </c>
      <c r="L14" s="114">
        <v>0.20816381881187787</v>
      </c>
      <c r="M14" s="114">
        <v>5.1966588676434354E-2</v>
      </c>
      <c r="N14" s="115">
        <v>2.5924572788089524</v>
      </c>
      <c r="O14" s="115">
        <v>1.9953151010184944</v>
      </c>
      <c r="P14" s="115">
        <v>13.271107257463079</v>
      </c>
      <c r="Q14" s="115">
        <v>18.167058935351683</v>
      </c>
      <c r="R14" s="115">
        <v>4.9769906112301321</v>
      </c>
      <c r="S14" s="115">
        <v>25.634097120278831</v>
      </c>
      <c r="T14" s="114">
        <v>0.15453419984060132</v>
      </c>
      <c r="U14" s="114">
        <v>2.4433610353444768E-2</v>
      </c>
      <c r="V14" s="114">
        <v>4.5278882463038071E-3</v>
      </c>
      <c r="W14" s="114">
        <v>-2.4613641395462703E-2</v>
      </c>
      <c r="X14" s="114">
        <v>0.20538521259637507</v>
      </c>
      <c r="Y14" s="114">
        <v>0.21488040227325825</v>
      </c>
      <c r="Z14" s="114">
        <v>0.21488040227325822</v>
      </c>
      <c r="AA14" s="116">
        <v>0.10983107146900138</v>
      </c>
    </row>
    <row r="15" spans="1:27">
      <c r="A15" s="112" t="s">
        <v>66</v>
      </c>
      <c r="B15" s="113">
        <v>169</v>
      </c>
      <c r="C15" s="114">
        <v>7.5333648648648638E-2</v>
      </c>
      <c r="D15" s="114">
        <v>8.8794149467611078E-2</v>
      </c>
      <c r="E15" s="114">
        <v>0.18329932580841857</v>
      </c>
      <c r="F15" s="114">
        <v>0.23839807268309032</v>
      </c>
      <c r="G15" s="115">
        <v>0.83002091868778094</v>
      </c>
      <c r="H15" s="115">
        <v>0.9267932361238046</v>
      </c>
      <c r="I15" s="114">
        <v>5.3044640745043573E-2</v>
      </c>
      <c r="J15" s="114">
        <v>0.45645353144669532</v>
      </c>
      <c r="K15" s="114">
        <v>2.9980000000000003E-2</v>
      </c>
      <c r="L15" s="114">
        <v>0.19818858549972049</v>
      </c>
      <c r="M15" s="114">
        <v>4.6869234896538131E-2</v>
      </c>
      <c r="N15" s="115">
        <v>2.1571632390102891</v>
      </c>
      <c r="O15" s="115">
        <v>2.9656653719133295</v>
      </c>
      <c r="P15" s="115">
        <v>17.396962450101594</v>
      </c>
      <c r="Q15" s="115">
        <v>31.207264566605247</v>
      </c>
      <c r="R15" s="115">
        <v>5.8494578130119574</v>
      </c>
      <c r="S15" s="115">
        <v>44.220616607815849</v>
      </c>
      <c r="T15" s="114">
        <v>0.1383677881159181</v>
      </c>
      <c r="U15" s="114">
        <v>3.1365189924289869E-2</v>
      </c>
      <c r="V15" s="114">
        <v>3.4450903020820478E-3</v>
      </c>
      <c r="W15" s="114">
        <v>-0.11507975896192031</v>
      </c>
      <c r="X15" s="114">
        <v>6.8090727350625171E-2</v>
      </c>
      <c r="Y15" s="114">
        <v>0.65869164942556535</v>
      </c>
      <c r="Z15" s="114">
        <v>0.65869164942556535</v>
      </c>
      <c r="AA15" s="116">
        <v>9.1753946663984842E-2</v>
      </c>
    </row>
    <row r="16" spans="1:27">
      <c r="A16" s="112" t="s">
        <v>67</v>
      </c>
      <c r="B16" s="113">
        <v>13</v>
      </c>
      <c r="C16" s="114">
        <v>6.6987499999999991E-2</v>
      </c>
      <c r="D16" s="114">
        <v>0.18151825584719841</v>
      </c>
      <c r="E16" s="114">
        <v>0.1108695566443063</v>
      </c>
      <c r="F16" s="114">
        <v>0.2232749536475076</v>
      </c>
      <c r="G16" s="115">
        <v>0.70050896959819531</v>
      </c>
      <c r="H16" s="115">
        <v>0.94296590940156932</v>
      </c>
      <c r="I16" s="114">
        <v>5.3807990923754073E-2</v>
      </c>
      <c r="J16" s="114">
        <v>0.32015889451441987</v>
      </c>
      <c r="K16" s="114">
        <v>2.58E-2</v>
      </c>
      <c r="L16" s="114">
        <v>0.34194704307327883</v>
      </c>
      <c r="M16" s="114">
        <v>4.1848738142904678E-2</v>
      </c>
      <c r="N16" s="115">
        <v>0.75699645884908628</v>
      </c>
      <c r="O16" s="115">
        <v>3.8522973077997342</v>
      </c>
      <c r="P16" s="115">
        <v>11.110660352699769</v>
      </c>
      <c r="Q16" s="115">
        <v>20.197523407169026</v>
      </c>
      <c r="R16" s="115">
        <v>3.1267555932444693</v>
      </c>
      <c r="S16" s="115">
        <v>63.676658140226202</v>
      </c>
      <c r="T16" s="114">
        <v>-1.3478658831321332E-2</v>
      </c>
      <c r="U16" s="114">
        <v>0.10944094488998773</v>
      </c>
      <c r="V16" s="114">
        <v>-1.74479403422238E-2</v>
      </c>
      <c r="W16" s="114">
        <v>-0.15009272873203189</v>
      </c>
      <c r="X16" s="114">
        <v>0.11465857561738993</v>
      </c>
      <c r="Y16" s="114">
        <v>0.26204693540483148</v>
      </c>
      <c r="Z16" s="114">
        <v>0.26204693540483148</v>
      </c>
      <c r="AA16" s="116">
        <v>0.18074278023464049</v>
      </c>
    </row>
    <row r="17" spans="1:27">
      <c r="A17" s="112" t="s">
        <v>68</v>
      </c>
      <c r="B17" s="113">
        <v>48</v>
      </c>
      <c r="C17" s="114">
        <v>0.22507260869565218</v>
      </c>
      <c r="D17" s="114">
        <v>7.2125799849545452E-2</v>
      </c>
      <c r="E17" s="114">
        <v>9.526127058726884E-2</v>
      </c>
      <c r="F17" s="114">
        <v>9.11707592257123E-2</v>
      </c>
      <c r="G17" s="115">
        <v>0.76177480335166814</v>
      </c>
      <c r="H17" s="115">
        <v>0.99347761010415836</v>
      </c>
      <c r="I17" s="114">
        <v>5.6192143196916275E-2</v>
      </c>
      <c r="J17" s="114">
        <v>0.48059008560791999</v>
      </c>
      <c r="K17" s="114">
        <v>2.9980000000000003E-2</v>
      </c>
      <c r="L17" s="114">
        <v>0.35532754282219436</v>
      </c>
      <c r="M17" s="114">
        <v>4.4002012434523979E-2</v>
      </c>
      <c r="N17" s="115">
        <v>1.3495744099697256</v>
      </c>
      <c r="O17" s="115">
        <v>1.5174120796495583</v>
      </c>
      <c r="P17" s="115">
        <v>10.009800017612704</v>
      </c>
      <c r="Q17" s="115">
        <v>20.702463001148864</v>
      </c>
      <c r="R17" s="115">
        <v>2.9613466941521587</v>
      </c>
      <c r="S17" s="115">
        <v>45.863876676003365</v>
      </c>
      <c r="T17" s="114">
        <v>0.15781685360764552</v>
      </c>
      <c r="U17" s="114">
        <v>6.3293803549302821E-2</v>
      </c>
      <c r="V17" s="114">
        <v>3.1644256342847926E-2</v>
      </c>
      <c r="W17" s="114">
        <v>0.18240181383069348</v>
      </c>
      <c r="X17" s="114">
        <v>-1.8172614575978987E-2</v>
      </c>
      <c r="Y17" s="114">
        <v>4.3914837186071155E-3</v>
      </c>
      <c r="Z17" s="114">
        <v>4.3914837186070921E-3</v>
      </c>
      <c r="AA17" s="116">
        <v>7.2759769960116197E-2</v>
      </c>
    </row>
    <row r="18" spans="1:27">
      <c r="A18" s="112" t="s">
        <v>69</v>
      </c>
      <c r="B18" s="113">
        <v>5</v>
      </c>
      <c r="C18" s="114">
        <v>0.28993999999999998</v>
      </c>
      <c r="D18" s="114">
        <v>5.8127006897219613E-2</v>
      </c>
      <c r="E18" s="114">
        <v>5.9258028373323071E-2</v>
      </c>
      <c r="F18" s="114">
        <v>5.7040998217468802E-2</v>
      </c>
      <c r="G18" s="115">
        <v>1.0360679957510837</v>
      </c>
      <c r="H18" s="115">
        <v>1.3627228737800379</v>
      </c>
      <c r="I18" s="114">
        <v>7.3620519642417795E-2</v>
      </c>
      <c r="J18" s="114">
        <v>0.36161247414360542</v>
      </c>
      <c r="K18" s="114">
        <v>2.58E-2</v>
      </c>
      <c r="L18" s="114">
        <v>0.36748841144372296</v>
      </c>
      <c r="M18" s="114">
        <v>5.3487108570495358E-2</v>
      </c>
      <c r="N18" s="115">
        <v>1.031930960947973</v>
      </c>
      <c r="O18" s="115">
        <v>1.7193508613762196</v>
      </c>
      <c r="P18" s="115">
        <v>13.381341293177154</v>
      </c>
      <c r="Q18" s="115">
        <v>29.250566929834815</v>
      </c>
      <c r="R18" s="115">
        <v>2.1784653458416967</v>
      </c>
      <c r="S18" s="115">
        <v>17.186064480100946</v>
      </c>
      <c r="T18" s="114">
        <v>0.17676019324724168</v>
      </c>
      <c r="U18" s="114">
        <v>5.0743138340853991E-2</v>
      </c>
      <c r="V18" s="114">
        <v>2.3919844159355344E-2</v>
      </c>
      <c r="W18" s="114">
        <v>-0.68790749421176467</v>
      </c>
      <c r="X18" s="114">
        <v>0.13253487594391739</v>
      </c>
      <c r="Y18" s="114">
        <v>0.51844357122128371</v>
      </c>
      <c r="Z18" s="114">
        <v>0.51844357122128371</v>
      </c>
      <c r="AA18" s="116">
        <v>5.8155715753131762E-2</v>
      </c>
    </row>
    <row r="19" spans="1:27">
      <c r="A19" s="112" t="s">
        <v>70</v>
      </c>
      <c r="B19" s="113">
        <v>97</v>
      </c>
      <c r="C19" s="114">
        <v>5.935418181818182E-2</v>
      </c>
      <c r="D19" s="114">
        <v>0.12065483831392119</v>
      </c>
      <c r="E19" s="114">
        <v>0.11841392418279365</v>
      </c>
      <c r="F19" s="114">
        <v>0.18168903732029262</v>
      </c>
      <c r="G19" s="115">
        <v>0.81821239630692277</v>
      </c>
      <c r="H19" s="115">
        <v>0.92659200882771764</v>
      </c>
      <c r="I19" s="114">
        <v>5.3035142816668268E-2</v>
      </c>
      <c r="J19" s="114">
        <v>0.38541268779569865</v>
      </c>
      <c r="K19" s="114">
        <v>2.58E-2</v>
      </c>
      <c r="L19" s="114">
        <v>0.20225162151176118</v>
      </c>
      <c r="M19" s="114">
        <v>4.6117906224441792E-2</v>
      </c>
      <c r="N19" s="115">
        <v>1.039150967937543</v>
      </c>
      <c r="O19" s="115">
        <v>3.2734869788149399</v>
      </c>
      <c r="P19" s="115">
        <v>15.557856524721306</v>
      </c>
      <c r="Q19" s="115">
        <v>26.532549641016292</v>
      </c>
      <c r="R19" s="115">
        <v>3.0972111715996866</v>
      </c>
      <c r="S19" s="115">
        <v>58.864592105629278</v>
      </c>
      <c r="T19" s="114">
        <v>0.21288350405516016</v>
      </c>
      <c r="U19" s="114">
        <v>6.3716484957961658E-2</v>
      </c>
      <c r="V19" s="114">
        <v>2.3084996958236067E-2</v>
      </c>
      <c r="W19" s="114">
        <v>0.10485662262283377</v>
      </c>
      <c r="X19" s="114">
        <v>2.4999967268943841E-2</v>
      </c>
      <c r="Y19" s="114">
        <v>1.6368906543614743</v>
      </c>
      <c r="Z19" s="114">
        <v>1.6368906543614743</v>
      </c>
      <c r="AA19" s="116">
        <v>0.12183987826365998</v>
      </c>
    </row>
    <row r="20" spans="1:27">
      <c r="A20" s="112" t="s">
        <v>71</v>
      </c>
      <c r="B20" s="113">
        <v>29</v>
      </c>
      <c r="C20" s="114">
        <v>-0.14184545454545455</v>
      </c>
      <c r="D20" s="114">
        <v>-8.7021433686582966E-2</v>
      </c>
      <c r="E20" s="114">
        <v>-7.4963742338342174E-2</v>
      </c>
      <c r="F20" s="114">
        <v>0</v>
      </c>
      <c r="G20" s="115">
        <v>0.56217651732938612</v>
      </c>
      <c r="H20" s="115">
        <v>0.82767054510963167</v>
      </c>
      <c r="I20" s="114">
        <v>4.8366049729174618E-2</v>
      </c>
      <c r="J20" s="114">
        <v>0.42274027838076222</v>
      </c>
      <c r="K20" s="114">
        <v>2.9980000000000003E-2</v>
      </c>
      <c r="L20" s="114">
        <v>0.48620323960370054</v>
      </c>
      <c r="M20" s="114">
        <v>3.5491072044039063E-2</v>
      </c>
      <c r="N20" s="115">
        <v>0.87019234752509467</v>
      </c>
      <c r="O20" s="115">
        <v>1.0829349201864724</v>
      </c>
      <c r="P20" s="115">
        <v>5.7852295537945153</v>
      </c>
      <c r="Q20" s="115" t="s">
        <v>160</v>
      </c>
      <c r="R20" s="115">
        <v>1.3578938055185275</v>
      </c>
      <c r="S20" s="115">
        <v>37.680380236658841</v>
      </c>
      <c r="T20" s="114">
        <v>7.7455270155492792E-2</v>
      </c>
      <c r="U20" s="114">
        <v>0.11286931613161091</v>
      </c>
      <c r="V20" s="114">
        <v>-7.1878003963649864E-2</v>
      </c>
      <c r="W20" s="114" t="s">
        <v>160</v>
      </c>
      <c r="X20" s="114">
        <v>-0.41663846571292651</v>
      </c>
      <c r="Y20" s="114">
        <v>2.2375830881551706E-2</v>
      </c>
      <c r="Z20" s="114">
        <v>2.2375830881551706E-2</v>
      </c>
      <c r="AA20" s="116">
        <v>-8.6146175097431971E-2</v>
      </c>
    </row>
    <row r="21" spans="1:27">
      <c r="A21" s="112" t="s">
        <v>72</v>
      </c>
      <c r="B21" s="113">
        <v>116</v>
      </c>
      <c r="C21" s="114">
        <v>9.4039999999999999E-2</v>
      </c>
      <c r="D21" s="114">
        <v>7.5787773903388839E-2</v>
      </c>
      <c r="E21" s="114">
        <v>0.2298022219858635</v>
      </c>
      <c r="F21" s="114">
        <v>0.12935124662396041</v>
      </c>
      <c r="G21" s="115">
        <v>0.94019446584590494</v>
      </c>
      <c r="H21" s="115">
        <v>1.1172533064231442</v>
      </c>
      <c r="I21" s="114">
        <v>6.2034356063172411E-2</v>
      </c>
      <c r="J21" s="114">
        <v>0.45890860890294438</v>
      </c>
      <c r="K21" s="114">
        <v>2.9980000000000003E-2</v>
      </c>
      <c r="L21" s="114">
        <v>0.28441649812649367</v>
      </c>
      <c r="M21" s="114">
        <v>5.0615330576250457E-2</v>
      </c>
      <c r="N21" s="115">
        <v>3.0298335785950181</v>
      </c>
      <c r="O21" s="115">
        <v>1.4323282243264928</v>
      </c>
      <c r="P21" s="115">
        <v>10.703294417645781</v>
      </c>
      <c r="Q21" s="115">
        <v>17.955357866981824</v>
      </c>
      <c r="R21" s="115">
        <v>4.0009819939510463</v>
      </c>
      <c r="S21" s="115">
        <v>27.860284729188052</v>
      </c>
      <c r="T21" s="114">
        <v>0.12085695378067635</v>
      </c>
      <c r="U21" s="114">
        <v>1.8050529500291616E-2</v>
      </c>
      <c r="V21" s="114">
        <v>-1.3398434376508724E-3</v>
      </c>
      <c r="W21" s="114">
        <v>-0.16577062867375225</v>
      </c>
      <c r="X21" s="114">
        <v>0.13499616893510502</v>
      </c>
      <c r="Y21" s="114">
        <v>0.75571575518498502</v>
      </c>
      <c r="Z21" s="114">
        <v>0.75571575518498502</v>
      </c>
      <c r="AA21" s="116">
        <v>8.0215230749698954E-2</v>
      </c>
    </row>
    <row r="22" spans="1:27">
      <c r="A22" s="112" t="s">
        <v>73</v>
      </c>
      <c r="B22" s="113">
        <v>52</v>
      </c>
      <c r="C22" s="114">
        <v>4.061E-2</v>
      </c>
      <c r="D22" s="114">
        <v>0.15552039250702068</v>
      </c>
      <c r="E22" s="114">
        <v>0.27816937415419485</v>
      </c>
      <c r="F22" s="114">
        <v>0.14173391130511429</v>
      </c>
      <c r="G22" s="115">
        <v>1.1394194094100192</v>
      </c>
      <c r="H22" s="115">
        <v>1.1840744332992201</v>
      </c>
      <c r="I22" s="114">
        <v>6.5188313251723182E-2</v>
      </c>
      <c r="J22" s="114">
        <v>0.42866445573502415</v>
      </c>
      <c r="K22" s="114">
        <v>2.9980000000000003E-2</v>
      </c>
      <c r="L22" s="114">
        <v>8.5548343531199625E-2</v>
      </c>
      <c r="M22" s="114">
        <v>6.1483820752963034E-2</v>
      </c>
      <c r="N22" s="115">
        <v>1.8063509746701698</v>
      </c>
      <c r="O22" s="115">
        <v>5.1406397654346936</v>
      </c>
      <c r="P22" s="115">
        <v>24.763418044250692</v>
      </c>
      <c r="Q22" s="115">
        <v>32.891802691131986</v>
      </c>
      <c r="R22" s="115">
        <v>22.895969862404975</v>
      </c>
      <c r="S22" s="115">
        <v>27.254643581045862</v>
      </c>
      <c r="T22" s="114">
        <v>-9.0831158512661922E-2</v>
      </c>
      <c r="U22" s="114">
        <v>2.71589677736691E-2</v>
      </c>
      <c r="V22" s="114">
        <v>1.7043799815278755E-3</v>
      </c>
      <c r="W22" s="114">
        <v>-2.4432574778906627E-3</v>
      </c>
      <c r="X22" s="114">
        <v>0.50530700076591384</v>
      </c>
      <c r="Y22" s="114">
        <v>0.26832300978709189</v>
      </c>
      <c r="Z22" s="114">
        <v>0.26832300978709189</v>
      </c>
      <c r="AA22" s="116">
        <v>0.15976104070516475</v>
      </c>
    </row>
    <row r="23" spans="1:27">
      <c r="A23" s="112" t="s">
        <v>218</v>
      </c>
      <c r="B23" s="113">
        <v>46</v>
      </c>
      <c r="C23" s="114">
        <v>3.5024444444444441E-2</v>
      </c>
      <c r="D23" s="114">
        <v>9.4110447087746116E-2</v>
      </c>
      <c r="E23" s="114">
        <v>9.9327618240169419E-2</v>
      </c>
      <c r="F23" s="114">
        <v>0.22986853036142532</v>
      </c>
      <c r="G23" s="115">
        <v>0.87221512558938474</v>
      </c>
      <c r="H23" s="115">
        <v>1.0210954372727519</v>
      </c>
      <c r="I23" s="114">
        <v>5.7495704639273892E-2</v>
      </c>
      <c r="J23" s="114">
        <v>0.33390823510550172</v>
      </c>
      <c r="K23" s="114">
        <v>2.58E-2</v>
      </c>
      <c r="L23" s="114">
        <v>0.25804788914661603</v>
      </c>
      <c r="M23" s="114">
        <v>4.7519133366299336E-2</v>
      </c>
      <c r="N23" s="115">
        <v>1.206776267166916</v>
      </c>
      <c r="O23" s="115">
        <v>2.2653310476695232</v>
      </c>
      <c r="P23" s="115">
        <v>15.233753921075373</v>
      </c>
      <c r="Q23" s="115">
        <v>23.470484102110117</v>
      </c>
      <c r="R23" s="115">
        <v>3.820222366541409</v>
      </c>
      <c r="S23" s="115">
        <v>108.39709320846305</v>
      </c>
      <c r="T23" s="114">
        <v>0.17230748820030611</v>
      </c>
      <c r="U23" s="114">
        <v>5.2131428478764265E-2</v>
      </c>
      <c r="V23" s="114">
        <v>1.963238854994992E-2</v>
      </c>
      <c r="W23" s="114">
        <v>-8.2577741574810168E-2</v>
      </c>
      <c r="X23" s="114">
        <v>0.13203652319198941</v>
      </c>
      <c r="Y23" s="114">
        <v>0.49845976311074519</v>
      </c>
      <c r="Z23" s="114">
        <v>0.49845976311074525</v>
      </c>
      <c r="AA23" s="116">
        <v>9.247820870969517E-2</v>
      </c>
    </row>
    <row r="24" spans="1:27">
      <c r="A24" s="112" t="s">
        <v>74</v>
      </c>
      <c r="B24" s="113">
        <v>29</v>
      </c>
      <c r="C24" s="114">
        <v>5.0763636363636393E-3</v>
      </c>
      <c r="D24" s="114">
        <v>0.18064192537411194</v>
      </c>
      <c r="E24" s="114">
        <v>0.13444721876605892</v>
      </c>
      <c r="F24" s="114">
        <v>0.20759642859229738</v>
      </c>
      <c r="G24" s="115">
        <v>0.89292367124205574</v>
      </c>
      <c r="H24" s="115">
        <v>1.0248022870265143</v>
      </c>
      <c r="I24" s="114">
        <v>5.767066794765148E-2</v>
      </c>
      <c r="J24" s="114">
        <v>0.29937382425934511</v>
      </c>
      <c r="K24" s="114">
        <v>2.58E-2</v>
      </c>
      <c r="L24" s="114">
        <v>0.22921378752881652</v>
      </c>
      <c r="M24" s="114">
        <v>4.876876819237129E-2</v>
      </c>
      <c r="N24" s="115">
        <v>0.79274924095640742</v>
      </c>
      <c r="O24" s="115">
        <v>2.7973465663251851</v>
      </c>
      <c r="P24" s="115">
        <v>11.373562877617585</v>
      </c>
      <c r="Q24" s="115">
        <v>15.120913165750846</v>
      </c>
      <c r="R24" s="115">
        <v>1.8571825941414872</v>
      </c>
      <c r="S24" s="115">
        <v>27.983642584788679</v>
      </c>
      <c r="T24" s="114">
        <v>1.483491445574776E-2</v>
      </c>
      <c r="U24" s="114">
        <v>5.0773905367239976E-2</v>
      </c>
      <c r="V24" s="114">
        <v>2.9695392039296772E-2</v>
      </c>
      <c r="W24" s="114">
        <v>0.20485767730748389</v>
      </c>
      <c r="X24" s="114">
        <v>0.10620755186982106</v>
      </c>
      <c r="Y24" s="114">
        <v>0.14321375871763409</v>
      </c>
      <c r="Z24" s="114">
        <v>0.14321375871763409</v>
      </c>
      <c r="AA24" s="116">
        <v>0.18142791563042543</v>
      </c>
    </row>
    <row r="25" spans="1:27">
      <c r="A25" s="112" t="s">
        <v>219</v>
      </c>
      <c r="B25" s="113">
        <v>547</v>
      </c>
      <c r="C25" s="114">
        <v>0.32639857142857154</v>
      </c>
      <c r="D25" s="114">
        <v>9.5441354077707152E-2</v>
      </c>
      <c r="E25" s="114">
        <v>6.2191687311969009E-2</v>
      </c>
      <c r="F25" s="114">
        <v>0.11951101190106696</v>
      </c>
      <c r="G25" s="115">
        <v>0.85149618276290218</v>
      </c>
      <c r="H25" s="115">
        <v>0.88621166971942</v>
      </c>
      <c r="I25" s="114">
        <v>5.112919081075662E-2</v>
      </c>
      <c r="J25" s="114">
        <v>0.50102002093170805</v>
      </c>
      <c r="K25" s="114">
        <v>2.9980000000000003E-2</v>
      </c>
      <c r="L25" s="114">
        <v>0.13419725368429949</v>
      </c>
      <c r="M25" s="114">
        <v>4.7204754396634928E-2</v>
      </c>
      <c r="N25" s="115">
        <v>0.48336474338597796</v>
      </c>
      <c r="O25" s="115">
        <v>8.7344405883629719</v>
      </c>
      <c r="P25" s="115">
        <v>14.395456267958144</v>
      </c>
      <c r="Q25" s="115">
        <v>57.628031832586927</v>
      </c>
      <c r="R25" s="115">
        <v>7.1806327240045089</v>
      </c>
      <c r="S25" s="115">
        <v>480.18431697399177</v>
      </c>
      <c r="T25" s="114">
        <v>0.13136172945902347</v>
      </c>
      <c r="U25" s="114">
        <v>3.5629635456688805E-2</v>
      </c>
      <c r="V25" s="114">
        <v>0.37648897569690665</v>
      </c>
      <c r="W25" s="114">
        <v>7.2154867100099889</v>
      </c>
      <c r="X25" s="114">
        <v>-1.1878403785774745E-2</v>
      </c>
      <c r="Y25" s="114">
        <v>1.2584434526538685E-3</v>
      </c>
      <c r="Z25" s="114">
        <v>1.2584434526539123E-3</v>
      </c>
      <c r="AA25" s="116">
        <v>0.1291522149779662</v>
      </c>
    </row>
    <row r="26" spans="1:27">
      <c r="A26" s="112" t="s">
        <v>220</v>
      </c>
      <c r="B26" s="113">
        <v>287</v>
      </c>
      <c r="C26" s="114">
        <v>0.32655374999999998</v>
      </c>
      <c r="D26" s="114">
        <v>0.24020052440609022</v>
      </c>
      <c r="E26" s="114">
        <v>0.20310872148840359</v>
      </c>
      <c r="F26" s="114">
        <v>0.16298183314653755</v>
      </c>
      <c r="G26" s="115">
        <v>0.83727850271797655</v>
      </c>
      <c r="H26" s="115">
        <v>0.90821840366478879</v>
      </c>
      <c r="I26" s="114">
        <v>5.2167908652978032E-2</v>
      </c>
      <c r="J26" s="114">
        <v>0.5545237555574154</v>
      </c>
      <c r="K26" s="114">
        <v>2.9980000000000003E-2</v>
      </c>
      <c r="L26" s="114">
        <v>0.1538384177716649</v>
      </c>
      <c r="M26" s="114">
        <v>4.7509295435647143E-2</v>
      </c>
      <c r="N26" s="115">
        <v>0.81486263323106978</v>
      </c>
      <c r="O26" s="115">
        <v>5.5545983292003589</v>
      </c>
      <c r="P26" s="115">
        <v>14.320361585486834</v>
      </c>
      <c r="Q26" s="115">
        <v>22.267716292883382</v>
      </c>
      <c r="R26" s="115">
        <v>5.0423372251545731</v>
      </c>
      <c r="S26" s="115">
        <v>34.542058049164375</v>
      </c>
      <c r="T26" s="114">
        <v>0.26225622765210937</v>
      </c>
      <c r="U26" s="114">
        <v>5.005383316952787E-2</v>
      </c>
      <c r="V26" s="114">
        <v>9.7390612971969506E-2</v>
      </c>
      <c r="W26" s="114">
        <v>0.48917071797569545</v>
      </c>
      <c r="X26" s="114">
        <v>0.18978925035861566</v>
      </c>
      <c r="Y26" s="114">
        <v>0.60855267822210035</v>
      </c>
      <c r="Z26" s="114">
        <v>0.60855267822210035</v>
      </c>
      <c r="AA26" s="116">
        <v>0.25376979881957329</v>
      </c>
    </row>
    <row r="27" spans="1:27">
      <c r="A27" s="112" t="s">
        <v>221</v>
      </c>
      <c r="B27" s="113">
        <v>38</v>
      </c>
      <c r="C27" s="114">
        <v>1.0088888888888892E-2</v>
      </c>
      <c r="D27" s="114">
        <v>9.2613468966935536E-2</v>
      </c>
      <c r="E27" s="114">
        <v>9.8891680964604045E-2</v>
      </c>
      <c r="F27" s="114">
        <v>0.16654618048728848</v>
      </c>
      <c r="G27" s="115">
        <v>1.0706243737868801</v>
      </c>
      <c r="H27" s="115">
        <v>1.1476809803615506</v>
      </c>
      <c r="I27" s="114">
        <v>6.3470542273065186E-2</v>
      </c>
      <c r="J27" s="114">
        <v>0.55726744957675056</v>
      </c>
      <c r="K27" s="114">
        <v>2.9980000000000003E-2</v>
      </c>
      <c r="L27" s="114">
        <v>0.19570414695886867</v>
      </c>
      <c r="M27" s="114">
        <v>5.5332157478351775E-2</v>
      </c>
      <c r="N27" s="115">
        <v>1.1668784652111823</v>
      </c>
      <c r="O27" s="115">
        <v>2.8063477998163817</v>
      </c>
      <c r="P27" s="115">
        <v>14.427941847430578</v>
      </c>
      <c r="Q27" s="115">
        <v>31.20589851999431</v>
      </c>
      <c r="R27" s="115">
        <v>2.9174350641711149</v>
      </c>
      <c r="S27" s="115">
        <v>26.631329737537396</v>
      </c>
      <c r="T27" s="114">
        <v>7.4714525935403453E-2</v>
      </c>
      <c r="U27" s="114">
        <v>3.8754347549663143E-2</v>
      </c>
      <c r="V27" s="114">
        <v>2.6957645691001734E-2</v>
      </c>
      <c r="W27" s="114">
        <v>0.61407623908671505</v>
      </c>
      <c r="X27" s="114">
        <v>-5.662813099300916E-2</v>
      </c>
      <c r="Y27" s="114">
        <v>5.875310487758168E-4</v>
      </c>
      <c r="Z27" s="114">
        <v>5.8753104877584672E-4</v>
      </c>
      <c r="AA27" s="116">
        <v>8.8249833595481525E-2</v>
      </c>
    </row>
    <row r="28" spans="1:27">
      <c r="A28" s="112" t="s">
        <v>75</v>
      </c>
      <c r="B28" s="113">
        <v>122</v>
      </c>
      <c r="C28" s="114">
        <v>4.2116111111111104E-2</v>
      </c>
      <c r="D28" s="114">
        <v>0.1260196090138315</v>
      </c>
      <c r="E28" s="114">
        <v>0.22121527249320072</v>
      </c>
      <c r="F28" s="114">
        <v>0.17212659415707204</v>
      </c>
      <c r="G28" s="115">
        <v>1.0013558595552174</v>
      </c>
      <c r="H28" s="115">
        <v>1.0590362036719883</v>
      </c>
      <c r="I28" s="114">
        <v>5.9286508813317845E-2</v>
      </c>
      <c r="J28" s="114">
        <v>0.55119424455412458</v>
      </c>
      <c r="K28" s="114">
        <v>2.9980000000000003E-2</v>
      </c>
      <c r="L28" s="114">
        <v>0.13307421483637799</v>
      </c>
      <c r="M28" s="114">
        <v>5.4309385623975644E-2</v>
      </c>
      <c r="N28" s="115">
        <v>1.8033803366179071</v>
      </c>
      <c r="O28" s="115">
        <v>3.6555586962612141</v>
      </c>
      <c r="P28" s="115">
        <v>15.957574454786183</v>
      </c>
      <c r="Q28" s="115">
        <v>22.8282656767188</v>
      </c>
      <c r="R28" s="115">
        <v>6.275090002935122</v>
      </c>
      <c r="S28" s="115">
        <v>106.0185982870089</v>
      </c>
      <c r="T28" s="114">
        <v>0.20995663482744578</v>
      </c>
      <c r="U28" s="114">
        <v>3.7866736799152867E-2</v>
      </c>
      <c r="V28" s="114">
        <v>4.4920461042954572E-2</v>
      </c>
      <c r="W28" s="114">
        <v>0.36521953697919074</v>
      </c>
      <c r="X28" s="114">
        <v>0.17667213707166918</v>
      </c>
      <c r="Y28" s="114">
        <v>0.43547064175723638</v>
      </c>
      <c r="Z28" s="114">
        <v>0.43547064175723638</v>
      </c>
      <c r="AA28" s="116">
        <v>0.12836155649720854</v>
      </c>
    </row>
    <row r="29" spans="1:27">
      <c r="A29" s="112" t="s">
        <v>76</v>
      </c>
      <c r="B29" s="113">
        <v>22</v>
      </c>
      <c r="C29" s="114">
        <v>1.6941666666666667E-2</v>
      </c>
      <c r="D29" s="114">
        <v>1.9904348412680198E-2</v>
      </c>
      <c r="E29" s="114">
        <v>4.6607492385584447E-2</v>
      </c>
      <c r="F29" s="114">
        <v>0.11280558789289871</v>
      </c>
      <c r="G29" s="115">
        <v>1.0108246814095976</v>
      </c>
      <c r="H29" s="115">
        <v>0.95535266136307728</v>
      </c>
      <c r="I29" s="114">
        <v>5.4392645616337248E-2</v>
      </c>
      <c r="J29" s="114">
        <v>0.54908907567487597</v>
      </c>
      <c r="K29" s="114">
        <v>2.9980000000000003E-2</v>
      </c>
      <c r="L29" s="114">
        <v>8.6783483622848448E-2</v>
      </c>
      <c r="M29" s="114">
        <v>5.157155359876793E-2</v>
      </c>
      <c r="N29" s="115">
        <v>1.8201553312722258</v>
      </c>
      <c r="O29" s="115">
        <v>1.3166288849653709</v>
      </c>
      <c r="P29" s="115">
        <v>18.961147120687322</v>
      </c>
      <c r="Q29" s="115">
        <v>59.518418530000268</v>
      </c>
      <c r="R29" s="115">
        <v>4.2630365457675641</v>
      </c>
      <c r="S29" s="115">
        <v>14.621502322457888</v>
      </c>
      <c r="T29" s="114">
        <v>0.13255100340049722</v>
      </c>
      <c r="U29" s="114">
        <v>1.6756066198075428E-2</v>
      </c>
      <c r="V29" s="114">
        <v>9.7431464416019315E-3</v>
      </c>
      <c r="W29" s="114">
        <v>-1.1244550392272765</v>
      </c>
      <c r="X29" s="114">
        <v>-4.8857210527873993E-2</v>
      </c>
      <c r="Y29" s="114">
        <v>0</v>
      </c>
      <c r="Z29" s="114">
        <v>0</v>
      </c>
      <c r="AA29" s="116">
        <v>2.5820612218617388E-2</v>
      </c>
    </row>
    <row r="30" spans="1:27">
      <c r="A30" s="112" t="s">
        <v>222</v>
      </c>
      <c r="B30" s="113">
        <v>157</v>
      </c>
      <c r="C30" s="114">
        <v>2.877239130434783E-2</v>
      </c>
      <c r="D30" s="114">
        <v>7.4672155328888476E-2</v>
      </c>
      <c r="E30" s="114">
        <v>0.110846132849151</v>
      </c>
      <c r="F30" s="114">
        <v>0.1984947191787583</v>
      </c>
      <c r="G30" s="115">
        <v>0.85821110049667171</v>
      </c>
      <c r="H30" s="115">
        <v>0.88526715421533009</v>
      </c>
      <c r="I30" s="114">
        <v>5.1084609678963583E-2</v>
      </c>
      <c r="J30" s="114">
        <v>0.4386506757631673</v>
      </c>
      <c r="K30" s="114">
        <v>2.9980000000000003E-2</v>
      </c>
      <c r="L30" s="114">
        <v>0.11881317128022098</v>
      </c>
      <c r="M30" s="114">
        <v>4.7615358978129796E-2</v>
      </c>
      <c r="N30" s="115">
        <v>1.489769744874309</v>
      </c>
      <c r="O30" s="115">
        <v>2.543668038136409</v>
      </c>
      <c r="P30" s="115">
        <v>17.517836254129978</v>
      </c>
      <c r="Q30" s="115">
        <v>32.120767125385541</v>
      </c>
      <c r="R30" s="115">
        <v>4.1410843961229471</v>
      </c>
      <c r="S30" s="115">
        <v>69.761936850042233</v>
      </c>
      <c r="T30" s="114">
        <v>0.20515099903601541</v>
      </c>
      <c r="U30" s="114">
        <v>4.1946689777722007E-2</v>
      </c>
      <c r="V30" s="114">
        <v>4.2450641137758337E-2</v>
      </c>
      <c r="W30" s="114">
        <v>0.59964477003714067</v>
      </c>
      <c r="X30" s="114">
        <v>6.6685203729739476E-2</v>
      </c>
      <c r="Y30" s="114">
        <v>0.41480411923496258</v>
      </c>
      <c r="Z30" s="114">
        <v>0.41480411923496252</v>
      </c>
      <c r="AA30" s="116">
        <v>7.9034727333663221E-2</v>
      </c>
    </row>
    <row r="31" spans="1:27">
      <c r="A31" s="112" t="s">
        <v>223</v>
      </c>
      <c r="B31" s="113">
        <v>61</v>
      </c>
      <c r="C31" s="114">
        <v>3.5700344827586217E-2</v>
      </c>
      <c r="D31" s="114">
        <v>4.1032677830106938E-2</v>
      </c>
      <c r="E31" s="114">
        <v>0.1485004333970936</v>
      </c>
      <c r="F31" s="114">
        <v>0.21894983014970723</v>
      </c>
      <c r="G31" s="115">
        <v>0.95563284656456471</v>
      </c>
      <c r="H31" s="115">
        <v>1.0564199824615637</v>
      </c>
      <c r="I31" s="114">
        <v>5.9163023172185802E-2</v>
      </c>
      <c r="J31" s="114">
        <v>0.42042611788262696</v>
      </c>
      <c r="K31" s="114">
        <v>2.9980000000000003E-2</v>
      </c>
      <c r="L31" s="114">
        <v>0.22018691156817488</v>
      </c>
      <c r="M31" s="114">
        <v>5.0954978455299976E-2</v>
      </c>
      <c r="N31" s="115">
        <v>3.7964583274477528</v>
      </c>
      <c r="O31" s="115">
        <v>0.8994726401457801</v>
      </c>
      <c r="P31" s="115">
        <v>10.853099629722484</v>
      </c>
      <c r="Q31" s="115">
        <v>19.795486858818521</v>
      </c>
      <c r="R31" s="115">
        <v>2.3182244883002365</v>
      </c>
      <c r="S31" s="115">
        <v>34.524899609773172</v>
      </c>
      <c r="T31" s="114">
        <v>0.17939383187925939</v>
      </c>
      <c r="U31" s="114">
        <v>1.6956216288295495E-2</v>
      </c>
      <c r="V31" s="114">
        <v>0.10319245357384162</v>
      </c>
      <c r="W31" s="114">
        <v>2.8375145355622444</v>
      </c>
      <c r="X31" s="114">
        <v>2.5369098163714011E-2</v>
      </c>
      <c r="Y31" s="114">
        <v>0.52788236771545494</v>
      </c>
      <c r="Z31" s="114">
        <v>0.52788236771545494</v>
      </c>
      <c r="AA31" s="116">
        <v>4.3132024738578523E-2</v>
      </c>
    </row>
    <row r="32" spans="1:27">
      <c r="A32" s="112" t="s">
        <v>77</v>
      </c>
      <c r="B32" s="113">
        <v>118</v>
      </c>
      <c r="C32" s="114">
        <v>6.3537037037037031E-2</v>
      </c>
      <c r="D32" s="114">
        <v>7.4408004832812916E-2</v>
      </c>
      <c r="E32" s="114">
        <v>7.9645785959073262E-2</v>
      </c>
      <c r="F32" s="114">
        <v>6.7312790687964988E-2</v>
      </c>
      <c r="G32" s="115">
        <v>0.83875643049493109</v>
      </c>
      <c r="H32" s="115">
        <v>0.88281719019109328</v>
      </c>
      <c r="I32" s="114">
        <v>5.0968971377019598E-2</v>
      </c>
      <c r="J32" s="114">
        <v>0.68062179370134024</v>
      </c>
      <c r="K32" s="114">
        <v>4.0925000000000003E-2</v>
      </c>
      <c r="L32" s="114">
        <v>0.13191242879076623</v>
      </c>
      <c r="M32" s="114">
        <v>4.8186447357941233E-2</v>
      </c>
      <c r="N32" s="115">
        <v>1.0663038710804666</v>
      </c>
      <c r="O32" s="115">
        <v>6.8089956450789391</v>
      </c>
      <c r="P32" s="115">
        <v>36.256779848569074</v>
      </c>
      <c r="Q32" s="115">
        <v>89.241474916291409</v>
      </c>
      <c r="R32" s="115">
        <v>5.4891215971609117</v>
      </c>
      <c r="S32" s="115">
        <v>1157.1319525274689</v>
      </c>
      <c r="T32" s="114">
        <v>6.5129868598529442E-3</v>
      </c>
      <c r="U32" s="114">
        <v>5.181286318160206E-2</v>
      </c>
      <c r="V32" s="114">
        <v>2.8005982797696055E-3</v>
      </c>
      <c r="W32" s="114">
        <v>0.16681230416370763</v>
      </c>
      <c r="X32" s="114">
        <v>-2.8668030644176556E-2</v>
      </c>
      <c r="Y32" s="114">
        <v>1.1191861766307E-3</v>
      </c>
      <c r="Z32" s="114">
        <v>1.1191861766306488E-3</v>
      </c>
      <c r="AA32" s="116">
        <v>7.5062395215220443E-2</v>
      </c>
    </row>
    <row r="33" spans="1:27">
      <c r="A33" s="112" t="s">
        <v>78</v>
      </c>
      <c r="B33" s="113">
        <v>86</v>
      </c>
      <c r="C33" s="114">
        <v>7.8791724137931035E-2</v>
      </c>
      <c r="D33" s="114">
        <v>0.11917242531350217</v>
      </c>
      <c r="E33" s="114">
        <v>0.19189575392252223</v>
      </c>
      <c r="F33" s="114">
        <v>0.20676852622066183</v>
      </c>
      <c r="G33" s="115">
        <v>0.82193535916621874</v>
      </c>
      <c r="H33" s="115">
        <v>0.95440765499167046</v>
      </c>
      <c r="I33" s="114">
        <v>5.4348041315606846E-2</v>
      </c>
      <c r="J33" s="114">
        <v>0.50430758359572492</v>
      </c>
      <c r="K33" s="114">
        <v>2.9980000000000003E-2</v>
      </c>
      <c r="L33" s="114">
        <v>0.20126685325298424</v>
      </c>
      <c r="M33" s="114">
        <v>4.7814387649734336E-2</v>
      </c>
      <c r="N33" s="115">
        <v>1.6302770377529443</v>
      </c>
      <c r="O33" s="115">
        <v>3.3408368969906879</v>
      </c>
      <c r="P33" s="115">
        <v>14.978449052948609</v>
      </c>
      <c r="Q33" s="115">
        <v>27.418717580911146</v>
      </c>
      <c r="R33" s="115">
        <v>4.6807605995708288</v>
      </c>
      <c r="S33" s="115">
        <v>549.57907903689807</v>
      </c>
      <c r="T33" s="114">
        <v>9.5560302887164134E-2</v>
      </c>
      <c r="U33" s="114">
        <v>7.48874492373683E-2</v>
      </c>
      <c r="V33" s="114">
        <v>2.8259328543857452E-2</v>
      </c>
      <c r="W33" s="114">
        <v>0.22495391418471472</v>
      </c>
      <c r="X33" s="114">
        <v>6.2101792861545151E-2</v>
      </c>
      <c r="Y33" s="114">
        <v>0.94762650024469008</v>
      </c>
      <c r="Z33" s="114">
        <v>0.94762650024469008</v>
      </c>
      <c r="AA33" s="116">
        <v>0.1209624712478881</v>
      </c>
    </row>
    <row r="34" spans="1:27">
      <c r="A34" s="112" t="s">
        <v>79</v>
      </c>
      <c r="B34" s="113">
        <v>32</v>
      </c>
      <c r="C34" s="114">
        <v>-7.6993749999999979E-3</v>
      </c>
      <c r="D34" s="114">
        <v>6.5548663442282051E-2</v>
      </c>
      <c r="E34" s="114">
        <v>9.1245793649661344E-2</v>
      </c>
      <c r="F34" s="114">
        <v>0.21868498381957277</v>
      </c>
      <c r="G34" s="115">
        <v>0.68611154551813824</v>
      </c>
      <c r="H34" s="115">
        <v>0.87469922843497838</v>
      </c>
      <c r="I34" s="114">
        <v>5.0585803582130981E-2</v>
      </c>
      <c r="J34" s="114">
        <v>0.45299255806954924</v>
      </c>
      <c r="K34" s="114">
        <v>2.9980000000000003E-2</v>
      </c>
      <c r="L34" s="114">
        <v>0.31060108451740698</v>
      </c>
      <c r="M34" s="114">
        <v>4.1671427103433828E-2</v>
      </c>
      <c r="N34" s="115">
        <v>1.4758582162441996</v>
      </c>
      <c r="O34" s="115">
        <v>1.3516162158425524</v>
      </c>
      <c r="P34" s="115">
        <v>14.707892115448548</v>
      </c>
      <c r="Q34" s="115">
        <v>20.129193995151144</v>
      </c>
      <c r="R34" s="115">
        <v>3.2090475248642476</v>
      </c>
      <c r="S34" s="115">
        <v>23.819322781968737</v>
      </c>
      <c r="T34" s="114">
        <v>0.12999619715447139</v>
      </c>
      <c r="U34" s="114">
        <v>3.061530342509149E-2</v>
      </c>
      <c r="V34" s="114">
        <v>1.3450482592225456E-2</v>
      </c>
      <c r="W34" s="114">
        <v>0.38726473158402225</v>
      </c>
      <c r="X34" s="114">
        <v>0.14029208346160055</v>
      </c>
      <c r="Y34" s="114">
        <v>0.38932196061718255</v>
      </c>
      <c r="Z34" s="114">
        <v>0.38932196061718249</v>
      </c>
      <c r="AA34" s="116">
        <v>6.6131735681281056E-2</v>
      </c>
    </row>
    <row r="35" spans="1:27">
      <c r="A35" s="112" t="s">
        <v>80</v>
      </c>
      <c r="B35" s="113">
        <v>235</v>
      </c>
      <c r="C35" s="114">
        <v>9.0827816901408467E-2</v>
      </c>
      <c r="D35" s="114">
        <v>0.12316551032467732</v>
      </c>
      <c r="E35" s="114">
        <v>3.9869987166348706E-3</v>
      </c>
      <c r="F35" s="114">
        <v>0.19212738756584311</v>
      </c>
      <c r="G35" s="115">
        <v>0.10910525070369609</v>
      </c>
      <c r="H35" s="115">
        <v>0.79710071959928419</v>
      </c>
      <c r="I35" s="114">
        <v>4.6923153965086215E-2</v>
      </c>
      <c r="J35" s="114">
        <v>0.27738631258663876</v>
      </c>
      <c r="K35" s="114">
        <v>2.58E-2</v>
      </c>
      <c r="L35" s="114">
        <v>0.89958710971303479</v>
      </c>
      <c r="M35" s="114">
        <v>2.1654513135349877E-2</v>
      </c>
      <c r="N35" s="115">
        <v>3.7411045708674089E-2</v>
      </c>
      <c r="O35" s="115">
        <v>31.486334617180493</v>
      </c>
      <c r="P35" s="115" t="s">
        <v>160</v>
      </c>
      <c r="Q35" s="115" t="s">
        <v>160</v>
      </c>
      <c r="R35" s="115">
        <v>2.2299287385592383</v>
      </c>
      <c r="S35" s="115">
        <v>21.864515213007955</v>
      </c>
      <c r="T35" s="114" t="s">
        <v>160</v>
      </c>
      <c r="U35" s="114">
        <v>6.9906759816409939E-2</v>
      </c>
      <c r="V35" s="114">
        <v>0.1319795854325862</v>
      </c>
      <c r="W35" s="114">
        <v>1.2262482887311255</v>
      </c>
      <c r="X35" s="114">
        <v>0.64282516706430437</v>
      </c>
      <c r="Y35" s="114">
        <v>0.23859654799119204</v>
      </c>
      <c r="Z35" s="114">
        <v>0.23859654799119201</v>
      </c>
      <c r="AA35" s="116">
        <v>0.12232122312899665</v>
      </c>
    </row>
    <row r="36" spans="1:27">
      <c r="A36" s="112" t="s">
        <v>81</v>
      </c>
      <c r="B36" s="113">
        <v>101</v>
      </c>
      <c r="C36" s="114">
        <v>6.8488409090909086E-2</v>
      </c>
      <c r="D36" s="114">
        <v>0.12798853836919141</v>
      </c>
      <c r="E36" s="114">
        <v>0.1753093853314738</v>
      </c>
      <c r="F36" s="114">
        <v>0.25020090078666379</v>
      </c>
      <c r="G36" s="115">
        <v>0.53211742817812102</v>
      </c>
      <c r="H36" s="115">
        <v>0.6363265081541909</v>
      </c>
      <c r="I36" s="114">
        <v>3.9334611184877813E-2</v>
      </c>
      <c r="J36" s="114">
        <v>0.3255716456670335</v>
      </c>
      <c r="K36" s="114">
        <v>2.58E-2</v>
      </c>
      <c r="L36" s="114">
        <v>0.24819053775449415</v>
      </c>
      <c r="M36" s="114">
        <v>3.4246553470607191E-2</v>
      </c>
      <c r="N36" s="115">
        <v>1.4801162017099179</v>
      </c>
      <c r="O36" s="115">
        <v>2.1935894352175414</v>
      </c>
      <c r="P36" s="115">
        <v>12.883089542134233</v>
      </c>
      <c r="Q36" s="115">
        <v>16.826468443447887</v>
      </c>
      <c r="R36" s="115">
        <v>2.5667103507314697</v>
      </c>
      <c r="S36" s="115">
        <v>375.19491831868447</v>
      </c>
      <c r="T36" s="114">
        <v>5.2654172141950666E-2</v>
      </c>
      <c r="U36" s="114">
        <v>3.2130357552498268E-2</v>
      </c>
      <c r="V36" s="114">
        <v>2.0938027507652963E-2</v>
      </c>
      <c r="W36" s="114">
        <v>0.15123913232404507</v>
      </c>
      <c r="X36" s="114">
        <v>0.10117860572097045</v>
      </c>
      <c r="Y36" s="114">
        <v>0.60976298364337567</v>
      </c>
      <c r="Z36" s="114">
        <v>0.60976298364337567</v>
      </c>
      <c r="AA36" s="116">
        <v>0.12952805629721381</v>
      </c>
    </row>
    <row r="37" spans="1:27">
      <c r="A37" s="112" t="s">
        <v>82</v>
      </c>
      <c r="B37" s="113">
        <v>18</v>
      </c>
      <c r="C37" s="114">
        <v>0.12012500000000001</v>
      </c>
      <c r="D37" s="114">
        <v>1.558491306059144E-2</v>
      </c>
      <c r="E37" s="114">
        <v>8.8859977506408852E-2</v>
      </c>
      <c r="F37" s="114">
        <v>3.8720173535791755E-2</v>
      </c>
      <c r="G37" s="115">
        <v>0.80667619598703388</v>
      </c>
      <c r="H37" s="115">
        <v>1.0346238620519972</v>
      </c>
      <c r="I37" s="114">
        <v>5.813424628885426E-2</v>
      </c>
      <c r="J37" s="114">
        <v>0.5803291952709172</v>
      </c>
      <c r="K37" s="114">
        <v>2.9980000000000003E-2</v>
      </c>
      <c r="L37" s="114">
        <v>0.35904724559597062</v>
      </c>
      <c r="M37" s="114">
        <v>4.5119197872809422E-2</v>
      </c>
      <c r="N37" s="115">
        <v>5.8166003876343453</v>
      </c>
      <c r="O37" s="115">
        <v>0.5436161544559327</v>
      </c>
      <c r="P37" s="115">
        <v>15.871954547377648</v>
      </c>
      <c r="Q37" s="115">
        <v>35.361015975894979</v>
      </c>
      <c r="R37" s="115">
        <v>5.0174107862980541</v>
      </c>
      <c r="S37" s="115">
        <v>8.6352957442395955</v>
      </c>
      <c r="T37" s="114">
        <v>5.3816094593914572E-2</v>
      </c>
      <c r="U37" s="114">
        <v>1.0154823902139759E-2</v>
      </c>
      <c r="V37" s="114">
        <v>2.6125454156993962E-2</v>
      </c>
      <c r="W37" s="114">
        <v>0.87555724326690676</v>
      </c>
      <c r="X37" s="114">
        <v>-5.025675254223573E-2</v>
      </c>
      <c r="Y37" s="114">
        <v>1.9942196531791911E-3</v>
      </c>
      <c r="Z37" s="114">
        <v>1.9942196531791412E-3</v>
      </c>
      <c r="AA37" s="116">
        <v>1.5356701695384856E-2</v>
      </c>
    </row>
    <row r="38" spans="1:27">
      <c r="A38" s="112" t="s">
        <v>83</v>
      </c>
      <c r="B38" s="113">
        <v>40</v>
      </c>
      <c r="C38" s="114">
        <v>5.0844444444444435E-2</v>
      </c>
      <c r="D38" s="114">
        <v>7.979264517520307E-2</v>
      </c>
      <c r="E38" s="114">
        <v>0.14594063278054276</v>
      </c>
      <c r="F38" s="114">
        <v>0.18916536786093302</v>
      </c>
      <c r="G38" s="115">
        <v>0.77948831469856228</v>
      </c>
      <c r="H38" s="115">
        <v>0.88324544941408023</v>
      </c>
      <c r="I38" s="114">
        <v>5.0989185212344579E-2</v>
      </c>
      <c r="J38" s="114">
        <v>0.40522934887538109</v>
      </c>
      <c r="K38" s="114">
        <v>2.9980000000000003E-2</v>
      </c>
      <c r="L38" s="114">
        <v>0.25405817332696667</v>
      </c>
      <c r="M38" s="114">
        <v>4.3595130704395933E-2</v>
      </c>
      <c r="N38" s="115">
        <v>1.8787110788695169</v>
      </c>
      <c r="O38" s="115">
        <v>1.3108448970847419</v>
      </c>
      <c r="P38" s="115">
        <v>9.7334239178307449</v>
      </c>
      <c r="Q38" s="115">
        <v>15.816425327036262</v>
      </c>
      <c r="R38" s="115">
        <v>2.6811847780363887</v>
      </c>
      <c r="S38" s="115">
        <v>125.49843153837293</v>
      </c>
      <c r="T38" s="114">
        <v>0.10604425927478943</v>
      </c>
      <c r="U38" s="114">
        <v>2.742211302108916E-2</v>
      </c>
      <c r="V38" s="114">
        <v>1.3722507350154173E-2</v>
      </c>
      <c r="W38" s="114">
        <v>-0.26831598396128398</v>
      </c>
      <c r="X38" s="114">
        <v>0.13370153727916076</v>
      </c>
      <c r="Y38" s="114">
        <v>0.27174160213987486</v>
      </c>
      <c r="Z38" s="114">
        <v>0.27174160213987486</v>
      </c>
      <c r="AA38" s="116">
        <v>8.1582139405610127E-2</v>
      </c>
    </row>
    <row r="39" spans="1:27">
      <c r="A39" s="112" t="s">
        <v>224</v>
      </c>
      <c r="B39" s="113">
        <v>25</v>
      </c>
      <c r="C39" s="114">
        <v>-8.9999999999999857E-4</v>
      </c>
      <c r="D39" s="114">
        <v>0.26119284560598877</v>
      </c>
      <c r="E39" s="114">
        <v>6.8933571736379956E-2</v>
      </c>
      <c r="F39" s="114">
        <v>0.43034281546316561</v>
      </c>
      <c r="G39" s="115">
        <v>0.67876371521982259</v>
      </c>
      <c r="H39" s="115">
        <v>0.9818502419420978</v>
      </c>
      <c r="I39" s="114">
        <v>5.5643331419667014E-2</v>
      </c>
      <c r="J39" s="114">
        <v>0.56041695704895178</v>
      </c>
      <c r="K39" s="114">
        <v>2.9980000000000003E-2</v>
      </c>
      <c r="L39" s="114">
        <v>0.39047333707738796</v>
      </c>
      <c r="M39" s="114">
        <v>4.2461759285400032E-2</v>
      </c>
      <c r="N39" s="115">
        <v>0.27102832816880995</v>
      </c>
      <c r="O39" s="115">
        <v>13.152748324967906</v>
      </c>
      <c r="P39" s="115">
        <v>22.940439620941806</v>
      </c>
      <c r="Q39" s="115">
        <v>50.762789375211959</v>
      </c>
      <c r="R39" s="115">
        <v>1.6801621931847164</v>
      </c>
      <c r="S39" s="115">
        <v>40.672598073760867</v>
      </c>
      <c r="T39" s="114">
        <v>-1.5824581888131781</v>
      </c>
      <c r="U39" s="114">
        <v>0.35687149238535748</v>
      </c>
      <c r="V39" s="114">
        <v>0.25819803394004409</v>
      </c>
      <c r="W39" s="114">
        <v>1.1011353779451551</v>
      </c>
      <c r="X39" s="114">
        <v>-0.20588897193795236</v>
      </c>
      <c r="Y39" s="114">
        <v>1.453488372093023E-3</v>
      </c>
      <c r="Z39" s="114">
        <v>1.4534883720930258E-3</v>
      </c>
      <c r="AA39" s="116">
        <v>0.25882529218209455</v>
      </c>
    </row>
    <row r="40" spans="1:27">
      <c r="A40" s="112" t="s">
        <v>84</v>
      </c>
      <c r="B40" s="113">
        <v>265</v>
      </c>
      <c r="C40" s="114">
        <v>0.13900056338028169</v>
      </c>
      <c r="D40" s="114">
        <v>0.14236329164930261</v>
      </c>
      <c r="E40" s="114">
        <v>0.13218413823554159</v>
      </c>
      <c r="F40" s="114">
        <v>0.13641522537328338</v>
      </c>
      <c r="G40" s="115">
        <v>0.80089242347798939</v>
      </c>
      <c r="H40" s="115">
        <v>0.83358408244891102</v>
      </c>
      <c r="I40" s="114">
        <v>4.8645168691588594E-2</v>
      </c>
      <c r="J40" s="114">
        <v>0.46189459888088252</v>
      </c>
      <c r="K40" s="114">
        <v>2.9980000000000003E-2</v>
      </c>
      <c r="L40" s="114">
        <v>9.655711279842244E-2</v>
      </c>
      <c r="M40" s="114">
        <v>4.6061322687575186E-2</v>
      </c>
      <c r="N40" s="115">
        <v>0.96317689846106402</v>
      </c>
      <c r="O40" s="115">
        <v>7.418860964552465</v>
      </c>
      <c r="P40" s="115">
        <v>28.528876115334604</v>
      </c>
      <c r="Q40" s="115">
        <v>49.24884508873965</v>
      </c>
      <c r="R40" s="115">
        <v>5.7745428887631487</v>
      </c>
      <c r="S40" s="115">
        <v>317.981478965745</v>
      </c>
      <c r="T40" s="114">
        <v>0.25162848288718354</v>
      </c>
      <c r="U40" s="114">
        <v>5.1531954255945193E-2</v>
      </c>
      <c r="V40" s="114">
        <v>0.11832959057934007</v>
      </c>
      <c r="W40" s="114">
        <v>1.1346429444683592</v>
      </c>
      <c r="X40" s="114">
        <v>0.10549129143429795</v>
      </c>
      <c r="Y40" s="114">
        <v>0.30107203248356434</v>
      </c>
      <c r="Z40" s="114">
        <v>0.30107203248356429</v>
      </c>
      <c r="AA40" s="116">
        <v>0.1409061346196625</v>
      </c>
    </row>
    <row r="41" spans="1:27">
      <c r="A41" s="112" t="s">
        <v>225</v>
      </c>
      <c r="B41" s="113">
        <v>129</v>
      </c>
      <c r="C41" s="114">
        <v>0.17543859649122812</v>
      </c>
      <c r="D41" s="114">
        <v>4.9688801625222462E-2</v>
      </c>
      <c r="E41" s="114">
        <v>0.35271782449764638</v>
      </c>
      <c r="F41" s="114">
        <v>0.24053692123715872</v>
      </c>
      <c r="G41" s="115">
        <v>0.73880824525715116</v>
      </c>
      <c r="H41" s="115">
        <v>0.85077449325239163</v>
      </c>
      <c r="I41" s="114">
        <v>4.9456556081512879E-2</v>
      </c>
      <c r="J41" s="114">
        <v>0.44491607317893028</v>
      </c>
      <c r="K41" s="114">
        <v>2.9980000000000003E-2</v>
      </c>
      <c r="L41" s="114">
        <v>0.24072345229636458</v>
      </c>
      <c r="M41" s="114">
        <v>4.2819532205769187E-2</v>
      </c>
      <c r="N41" s="115">
        <v>7.7154340602445259</v>
      </c>
      <c r="O41" s="115">
        <v>0.6820844203953057</v>
      </c>
      <c r="P41" s="115">
        <v>10.360969964204955</v>
      </c>
      <c r="Q41" s="115">
        <v>13.628443805969216</v>
      </c>
      <c r="R41" s="115">
        <v>2.9088731888525392</v>
      </c>
      <c r="S41" s="115">
        <v>104.17605537136028</v>
      </c>
      <c r="T41" s="114">
        <v>-5.3313038545293082E-2</v>
      </c>
      <c r="U41" s="114">
        <v>7.4091754981954394E-3</v>
      </c>
      <c r="V41" s="114">
        <v>6.8462345197443271E-3</v>
      </c>
      <c r="W41" s="114">
        <v>0.19571731702201534</v>
      </c>
      <c r="X41" s="114">
        <v>0.16598318123555375</v>
      </c>
      <c r="Y41" s="114">
        <v>0.25627274193952404</v>
      </c>
      <c r="Z41" s="114">
        <v>0.2562727419395241</v>
      </c>
      <c r="AA41" s="116">
        <v>4.8447724090470837E-2</v>
      </c>
    </row>
    <row r="42" spans="1:27">
      <c r="A42" s="112" t="s">
        <v>85</v>
      </c>
      <c r="B42" s="113">
        <v>139</v>
      </c>
      <c r="C42" s="114">
        <v>0.15023892857142859</v>
      </c>
      <c r="D42" s="114">
        <v>0.13140034808253312</v>
      </c>
      <c r="E42" s="114">
        <v>0.16352219103562232</v>
      </c>
      <c r="F42" s="114">
        <v>0.1642744803976314</v>
      </c>
      <c r="G42" s="115">
        <v>0.75350441182112227</v>
      </c>
      <c r="H42" s="115">
        <v>0.79090289078720777</v>
      </c>
      <c r="I42" s="114">
        <v>4.6630616445156203E-2</v>
      </c>
      <c r="J42" s="114">
        <v>0.42448602624975351</v>
      </c>
      <c r="K42" s="114">
        <v>2.9980000000000003E-2</v>
      </c>
      <c r="L42" s="114">
        <v>0.10793771659912331</v>
      </c>
      <c r="M42" s="114">
        <v>4.395967428531497E-2</v>
      </c>
      <c r="N42" s="115">
        <v>1.2445291896621029</v>
      </c>
      <c r="O42" s="115">
        <v>7.3338745856522403</v>
      </c>
      <c r="P42" s="115">
        <v>29.316679172039294</v>
      </c>
      <c r="Q42" s="115">
        <v>50.487687969802643</v>
      </c>
      <c r="R42" s="115">
        <v>7.1196573878921594</v>
      </c>
      <c r="S42" s="115">
        <v>162.96068906351726</v>
      </c>
      <c r="T42" s="114">
        <v>0.230695661728999</v>
      </c>
      <c r="U42" s="114">
        <v>3.8241608977835448E-2</v>
      </c>
      <c r="V42" s="114">
        <v>7.2469223761760222E-4</v>
      </c>
      <c r="W42" s="114">
        <v>0.10283228731258889</v>
      </c>
      <c r="X42" s="114">
        <v>0.14110113703375673</v>
      </c>
      <c r="Y42" s="114">
        <v>0.1055403844498929</v>
      </c>
      <c r="Z42" s="114">
        <v>0.10554038444989289</v>
      </c>
      <c r="AA42" s="116">
        <v>0.13688108658432346</v>
      </c>
    </row>
    <row r="43" spans="1:27">
      <c r="A43" s="112" t="s">
        <v>86</v>
      </c>
      <c r="B43" s="113">
        <v>30</v>
      </c>
      <c r="C43" s="114">
        <v>0.13522173913043478</v>
      </c>
      <c r="D43" s="114">
        <v>0.11811793417275933</v>
      </c>
      <c r="E43" s="114">
        <v>0.13576565262352838</v>
      </c>
      <c r="F43" s="114">
        <v>0.20304351746354421</v>
      </c>
      <c r="G43" s="115">
        <v>1.3290311296483035</v>
      </c>
      <c r="H43" s="115">
        <v>1.4589538372780313</v>
      </c>
      <c r="I43" s="114">
        <v>7.8162621119523074E-2</v>
      </c>
      <c r="J43" s="114">
        <v>0.36557254084354074</v>
      </c>
      <c r="K43" s="114">
        <v>2.58E-2</v>
      </c>
      <c r="L43" s="114">
        <v>0.24657713832421019</v>
      </c>
      <c r="M43" s="114">
        <v>6.3533539503149772E-2</v>
      </c>
      <c r="N43" s="115">
        <v>1.3657613592279838</v>
      </c>
      <c r="O43" s="115">
        <v>1.2091954271235921</v>
      </c>
      <c r="P43" s="115">
        <v>9.5449309888112772</v>
      </c>
      <c r="Q43" s="115">
        <v>10.22676909904947</v>
      </c>
      <c r="R43" s="115">
        <v>1.7506787743934999</v>
      </c>
      <c r="S43" s="115">
        <v>17.342111719652049</v>
      </c>
      <c r="T43" s="114">
        <v>0.66096367499042219</v>
      </c>
      <c r="U43" s="114">
        <v>7.353378642970425E-3</v>
      </c>
      <c r="V43" s="114">
        <v>6.3110106495485605E-3</v>
      </c>
      <c r="W43" s="114">
        <v>-0.10147826243566957</v>
      </c>
      <c r="X43" s="114">
        <v>0.17701980078050125</v>
      </c>
      <c r="Y43" s="114">
        <v>7.582219186699346E-2</v>
      </c>
      <c r="Z43" s="114">
        <v>7.582219186699346E-2</v>
      </c>
      <c r="AA43" s="116">
        <v>0.11820899341778766</v>
      </c>
    </row>
    <row r="44" spans="1:27">
      <c r="A44" s="112" t="s">
        <v>226</v>
      </c>
      <c r="B44" s="113">
        <v>32</v>
      </c>
      <c r="C44" s="114">
        <v>4.236545454545456E-2</v>
      </c>
      <c r="D44" s="114">
        <v>0.10195066535222672</v>
      </c>
      <c r="E44" s="114">
        <v>0.13175970132459572</v>
      </c>
      <c r="F44" s="114">
        <v>0.20315425364650111</v>
      </c>
      <c r="G44" s="115">
        <v>0.80772483291603048</v>
      </c>
      <c r="H44" s="115">
        <v>1.2831022322021963</v>
      </c>
      <c r="I44" s="114">
        <v>6.9862425359943664E-2</v>
      </c>
      <c r="J44" s="114">
        <v>0.49211448705692795</v>
      </c>
      <c r="K44" s="114">
        <v>2.9980000000000003E-2</v>
      </c>
      <c r="L44" s="114">
        <v>0.49850202834771307</v>
      </c>
      <c r="M44" s="114">
        <v>4.5945780903922082E-2</v>
      </c>
      <c r="N44" s="115">
        <v>1.512408642599691</v>
      </c>
      <c r="O44" s="115">
        <v>1.5355178116126029</v>
      </c>
      <c r="P44" s="115">
        <v>8.9654632470681257</v>
      </c>
      <c r="Q44" s="115">
        <v>16.183161799511307</v>
      </c>
      <c r="R44" s="115">
        <v>5.7799017828730657</v>
      </c>
      <c r="S44" s="115">
        <v>44.606702222356631</v>
      </c>
      <c r="T44" s="114">
        <v>3.3726271206131413E-2</v>
      </c>
      <c r="U44" s="114">
        <v>5.9186574124785472E-2</v>
      </c>
      <c r="V44" s="114">
        <v>1.3927684229044475E-2</v>
      </c>
      <c r="W44" s="114">
        <v>-0.26096085143205294</v>
      </c>
      <c r="X44" s="114">
        <v>0.70638537766592602</v>
      </c>
      <c r="Y44" s="114">
        <v>0.10911348102850074</v>
      </c>
      <c r="Z44" s="114">
        <v>0.10911348102850071</v>
      </c>
      <c r="AA44" s="116">
        <v>9.4857837622379176E-2</v>
      </c>
    </row>
    <row r="45" spans="1:27">
      <c r="A45" s="112" t="s">
        <v>87</v>
      </c>
      <c r="B45" s="113">
        <v>66</v>
      </c>
      <c r="C45" s="114">
        <v>-3.7959459459459503E-3</v>
      </c>
      <c r="D45" s="114">
        <v>-0.10338054015318786</v>
      </c>
      <c r="E45" s="114">
        <v>-5.2366069049734905E-2</v>
      </c>
      <c r="F45" s="114">
        <v>0.23340422307242401</v>
      </c>
      <c r="G45" s="115">
        <v>1.1898252960272824</v>
      </c>
      <c r="H45" s="115">
        <v>1.56468392285972</v>
      </c>
      <c r="I45" s="114">
        <v>8.3153081158978792E-2</v>
      </c>
      <c r="J45" s="114">
        <v>0.43694205263736113</v>
      </c>
      <c r="K45" s="114">
        <v>2.9980000000000003E-2</v>
      </c>
      <c r="L45" s="114">
        <v>0.36401274176782844</v>
      </c>
      <c r="M45" s="114">
        <v>6.0850864558541794E-2</v>
      </c>
      <c r="N45" s="115">
        <v>0.38180384510981952</v>
      </c>
      <c r="O45" s="115">
        <v>8.0782571525859517</v>
      </c>
      <c r="P45" s="115">
        <v>38.324760402618416</v>
      </c>
      <c r="Q45" s="115" t="s">
        <v>160</v>
      </c>
      <c r="R45" s="115">
        <v>6.0965739315898846</v>
      </c>
      <c r="S45" s="115">
        <v>64.17173094138856</v>
      </c>
      <c r="T45" s="114">
        <v>0.15669943941554873</v>
      </c>
      <c r="U45" s="114">
        <v>0.18514010951751525</v>
      </c>
      <c r="V45" s="114">
        <v>0.12996342799426844</v>
      </c>
      <c r="W45" s="114" t="s">
        <v>160</v>
      </c>
      <c r="X45" s="114">
        <v>-0.30404227686734225</v>
      </c>
      <c r="Y45" s="114">
        <v>5.0076364269329519E-3</v>
      </c>
      <c r="Z45" s="114">
        <v>5.0076364269329154E-3</v>
      </c>
      <c r="AA45" s="116">
        <v>-0.14013203795027143</v>
      </c>
    </row>
    <row r="46" spans="1:27">
      <c r="A46" s="112" t="s">
        <v>88</v>
      </c>
      <c r="B46" s="113">
        <v>140</v>
      </c>
      <c r="C46" s="114">
        <v>0.14176819999999998</v>
      </c>
      <c r="D46" s="114">
        <v>0.1819667744413215</v>
      </c>
      <c r="E46" s="114">
        <v>0.34990818070240404</v>
      </c>
      <c r="F46" s="114">
        <v>0.20236892874956461</v>
      </c>
      <c r="G46" s="115">
        <v>0.68378487197747861</v>
      </c>
      <c r="H46" s="115">
        <v>0.73000422582003843</v>
      </c>
      <c r="I46" s="114">
        <v>4.3756199458705819E-2</v>
      </c>
      <c r="J46" s="114">
        <v>0.54656682653316824</v>
      </c>
      <c r="K46" s="114">
        <v>2.9980000000000003E-2</v>
      </c>
      <c r="L46" s="114">
        <v>0.12928508929149829</v>
      </c>
      <c r="M46" s="114">
        <v>4.0928631197810587E-2</v>
      </c>
      <c r="N46" s="115">
        <v>2.0170317660192372</v>
      </c>
      <c r="O46" s="115">
        <v>4.0934208573020419</v>
      </c>
      <c r="P46" s="115">
        <v>17.59977177709689</v>
      </c>
      <c r="Q46" s="115">
        <v>22.326919748346679</v>
      </c>
      <c r="R46" s="115">
        <v>9.0587700371026969</v>
      </c>
      <c r="S46" s="115">
        <v>36.292003801021629</v>
      </c>
      <c r="T46" s="114">
        <v>8.8529602869233059E-2</v>
      </c>
      <c r="U46" s="114">
        <v>3.6469456611976016E-2</v>
      </c>
      <c r="V46" s="114">
        <v>1.2704344447733367E-2</v>
      </c>
      <c r="W46" s="114">
        <v>-2.5748375486340506E-2</v>
      </c>
      <c r="X46" s="114">
        <v>0.31596573813617485</v>
      </c>
      <c r="Y46" s="114">
        <v>0.60852670845503798</v>
      </c>
      <c r="Z46" s="114">
        <v>0.60852670845503798</v>
      </c>
      <c r="AA46" s="116">
        <v>0.1827156850383734</v>
      </c>
    </row>
    <row r="47" spans="1:27">
      <c r="A47" s="112" t="s">
        <v>89</v>
      </c>
      <c r="B47" s="113">
        <v>77</v>
      </c>
      <c r="C47" s="114">
        <v>0.12192054054054054</v>
      </c>
      <c r="D47" s="114">
        <v>0.2339520762233811</v>
      </c>
      <c r="E47" s="114">
        <v>0.24335217141940213</v>
      </c>
      <c r="F47" s="114">
        <v>0.2034638500005031</v>
      </c>
      <c r="G47" s="115">
        <v>0.97461912701503428</v>
      </c>
      <c r="H47" s="115">
        <v>1.0099196260149268</v>
      </c>
      <c r="I47" s="114">
        <v>5.6968206347904546E-2</v>
      </c>
      <c r="J47" s="114">
        <v>0.42373343239410072</v>
      </c>
      <c r="K47" s="114">
        <v>2.9980000000000003E-2</v>
      </c>
      <c r="L47" s="114">
        <v>8.5647530715410217E-2</v>
      </c>
      <c r="M47" s="114">
        <v>5.3963450613639601E-2</v>
      </c>
      <c r="N47" s="115">
        <v>1.1415497263439134</v>
      </c>
      <c r="O47" s="115">
        <v>10.543643178813669</v>
      </c>
      <c r="P47" s="115">
        <v>31.702639169289323</v>
      </c>
      <c r="Q47" s="115">
        <v>44.480181369409003</v>
      </c>
      <c r="R47" s="115">
        <v>8.3830585799549358</v>
      </c>
      <c r="S47" s="115">
        <v>71.12999032730562</v>
      </c>
      <c r="T47" s="114">
        <v>6.7903170384186667E-2</v>
      </c>
      <c r="U47" s="114">
        <v>3.0739337558518105E-2</v>
      </c>
      <c r="V47" s="114">
        <v>-1.4683566513378913E-3</v>
      </c>
      <c r="W47" s="114">
        <v>-7.0752736552048848E-2</v>
      </c>
      <c r="X47" s="114">
        <v>0.14346907619602076</v>
      </c>
      <c r="Y47" s="114">
        <v>0.32413898792734774</v>
      </c>
      <c r="Z47" s="114">
        <v>0.32413898792734774</v>
      </c>
      <c r="AA47" s="116">
        <v>0.23610747495742426</v>
      </c>
    </row>
    <row r="48" spans="1:27">
      <c r="A48" s="112" t="s">
        <v>90</v>
      </c>
      <c r="B48" s="113">
        <v>21</v>
      </c>
      <c r="C48" s="114">
        <v>5.5122142857142863E-2</v>
      </c>
      <c r="D48" s="114">
        <v>0.12831289999334866</v>
      </c>
      <c r="E48" s="114">
        <v>9.2559511631358157E-2</v>
      </c>
      <c r="F48" s="114">
        <v>0.19299294104911144</v>
      </c>
      <c r="G48" s="115">
        <v>0.55878527528759392</v>
      </c>
      <c r="H48" s="115">
        <v>0.68233757937038952</v>
      </c>
      <c r="I48" s="114">
        <v>4.1506333746282389E-2</v>
      </c>
      <c r="J48" s="114">
        <v>0.30122040517355808</v>
      </c>
      <c r="K48" s="114">
        <v>2.58E-2</v>
      </c>
      <c r="L48" s="114">
        <v>0.28983736652162351</v>
      </c>
      <c r="M48" s="114">
        <v>3.4935044240360563E-2</v>
      </c>
      <c r="N48" s="115">
        <v>0.81938593510370794</v>
      </c>
      <c r="O48" s="115">
        <v>1.9727436127834244</v>
      </c>
      <c r="P48" s="115">
        <v>9.9861166404891897</v>
      </c>
      <c r="Q48" s="115">
        <v>15.008167570981826</v>
      </c>
      <c r="R48" s="115">
        <v>1.4487601146501508</v>
      </c>
      <c r="S48" s="115">
        <v>50.362847538359041</v>
      </c>
      <c r="T48" s="114">
        <v>-0.15439187837672572</v>
      </c>
      <c r="U48" s="114">
        <v>7.7508708741521291E-3</v>
      </c>
      <c r="V48" s="114">
        <v>-3.1650180745330693E-2</v>
      </c>
      <c r="W48" s="114">
        <v>-0.44470666364534434</v>
      </c>
      <c r="X48" s="114">
        <v>1.4880081144398424E-2</v>
      </c>
      <c r="Y48" s="114">
        <v>1.9278781887477539</v>
      </c>
      <c r="Z48" s="114">
        <v>1.9278781887477539</v>
      </c>
      <c r="AA48" s="116">
        <v>0.12922179742688972</v>
      </c>
    </row>
    <row r="49" spans="1:27">
      <c r="A49" s="112" t="s">
        <v>91</v>
      </c>
      <c r="B49" s="113">
        <v>26</v>
      </c>
      <c r="C49" s="114">
        <v>3.3450500000000008E-2</v>
      </c>
      <c r="D49" s="114">
        <v>8.4779469920514217E-2</v>
      </c>
      <c r="E49" s="114">
        <v>4.3331979597565747E-2</v>
      </c>
      <c r="F49" s="114">
        <v>0.13003550125681396</v>
      </c>
      <c r="G49" s="115">
        <v>0.64447973202492148</v>
      </c>
      <c r="H49" s="115">
        <v>0.97641663249405386</v>
      </c>
      <c r="I49" s="114">
        <v>5.5386865053719342E-2</v>
      </c>
      <c r="J49" s="114">
        <v>0.30676474675693499</v>
      </c>
      <c r="K49" s="114">
        <v>2.58E-2</v>
      </c>
      <c r="L49" s="114">
        <v>0.54534135652464089</v>
      </c>
      <c r="M49" s="114">
        <v>3.5453076040461898E-2</v>
      </c>
      <c r="N49" s="115">
        <v>0.60209409073925479</v>
      </c>
      <c r="O49" s="115">
        <v>1.3106236214950624</v>
      </c>
      <c r="P49" s="115">
        <v>12.509114846235827</v>
      </c>
      <c r="Q49" s="115">
        <v>15.004458995361144</v>
      </c>
      <c r="R49" s="115">
        <v>0.59088041647907175</v>
      </c>
      <c r="S49" s="115">
        <v>28.985999646276792</v>
      </c>
      <c r="T49" s="114">
        <v>1.346441993151282E-2</v>
      </c>
      <c r="U49" s="114">
        <v>1.6236942865729218E-3</v>
      </c>
      <c r="V49" s="114">
        <v>-3.8606362671102083E-3</v>
      </c>
      <c r="W49" s="114">
        <v>2.6374819123671199E-2</v>
      </c>
      <c r="X49" s="114">
        <v>5.6058035053354431E-2</v>
      </c>
      <c r="Y49" s="114">
        <v>0.37954798472289947</v>
      </c>
      <c r="Z49" s="114">
        <v>0.37954798472289952</v>
      </c>
      <c r="AA49" s="116">
        <v>8.4790241950832165E-2</v>
      </c>
    </row>
    <row r="50" spans="1:27">
      <c r="A50" s="112" t="s">
        <v>92</v>
      </c>
      <c r="B50" s="113">
        <v>55</v>
      </c>
      <c r="C50" s="114">
        <v>3.0855111111111107E-2</v>
      </c>
      <c r="D50" s="114">
        <v>0.10847421675224501</v>
      </c>
      <c r="E50" s="114">
        <v>0.10737324263625311</v>
      </c>
      <c r="F50" s="114">
        <v>0.19459729772239065</v>
      </c>
      <c r="G50" s="115">
        <v>0.57819626116653611</v>
      </c>
      <c r="H50" s="115">
        <v>0.64321741983105052</v>
      </c>
      <c r="I50" s="114">
        <v>3.9659862216025583E-2</v>
      </c>
      <c r="J50" s="114">
        <v>0.22934083377302145</v>
      </c>
      <c r="K50" s="114">
        <v>1.9200000000000002E-2</v>
      </c>
      <c r="L50" s="114">
        <v>0.20036030011663622</v>
      </c>
      <c r="M50" s="114">
        <v>3.4521850286273026E-2</v>
      </c>
      <c r="N50" s="115">
        <v>1.1057066018525521</v>
      </c>
      <c r="O50" s="115">
        <v>1.4442166689309721</v>
      </c>
      <c r="P50" s="115">
        <v>9.6858278209457733</v>
      </c>
      <c r="Q50" s="115">
        <v>12.331872133525609</v>
      </c>
      <c r="R50" s="115">
        <v>1.5432468849506851</v>
      </c>
      <c r="S50" s="115">
        <v>22.123312520281296</v>
      </c>
      <c r="T50" s="114">
        <v>-0.52804572696786289</v>
      </c>
      <c r="U50" s="114">
        <v>1.0637588426180641E-2</v>
      </c>
      <c r="V50" s="114">
        <v>3.6507669157428164E-3</v>
      </c>
      <c r="W50" s="114">
        <v>0.1346544089460229</v>
      </c>
      <c r="X50" s="114">
        <v>9.1936527340317986E-2</v>
      </c>
      <c r="Y50" s="114">
        <v>0.38393406234625005</v>
      </c>
      <c r="Z50" s="114">
        <v>0.38393406234625005</v>
      </c>
      <c r="AA50" s="116">
        <v>0.10894128541349707</v>
      </c>
    </row>
    <row r="51" spans="1:27">
      <c r="A51" s="112" t="s">
        <v>227</v>
      </c>
      <c r="B51" s="113">
        <v>348</v>
      </c>
      <c r="C51" s="114">
        <v>6.5032203389830453E-3</v>
      </c>
      <c r="D51" s="114">
        <v>0.16949131848115098</v>
      </c>
      <c r="E51" s="114">
        <v>7.2354583164880165E-2</v>
      </c>
      <c r="F51" s="114">
        <v>0.18522401728308402</v>
      </c>
      <c r="G51" s="115">
        <v>0.78493309091986951</v>
      </c>
      <c r="H51" s="115">
        <v>0.92923680777192841</v>
      </c>
      <c r="I51" s="114">
        <v>5.3159977326835015E-2</v>
      </c>
      <c r="J51" s="114">
        <v>0.28854952848131826</v>
      </c>
      <c r="K51" s="114">
        <v>2.58E-2</v>
      </c>
      <c r="L51" s="114">
        <v>0.31139024112355651</v>
      </c>
      <c r="M51" s="114">
        <v>4.2471202970230125E-2</v>
      </c>
      <c r="N51" s="115">
        <v>0.45307081218054784</v>
      </c>
      <c r="O51" s="115">
        <v>5.8715163223657916</v>
      </c>
      <c r="P51" s="115">
        <v>26.171674354963887</v>
      </c>
      <c r="Q51" s="115">
        <v>30.597103347514032</v>
      </c>
      <c r="R51" s="115">
        <v>2.0501554221529452</v>
      </c>
      <c r="S51" s="115">
        <v>625.40619966705265</v>
      </c>
      <c r="T51" s="114" t="s">
        <v>160</v>
      </c>
      <c r="U51" s="114">
        <v>2.9159132551968562E-2</v>
      </c>
      <c r="V51" s="114">
        <v>5.3070408422195771E-2</v>
      </c>
      <c r="W51" s="114">
        <v>0.46227769708784833</v>
      </c>
      <c r="X51" s="114">
        <v>0.12346905522546975</v>
      </c>
      <c r="Y51" s="114">
        <v>0.52696562252946222</v>
      </c>
      <c r="Z51" s="114">
        <v>0.52696562252946222</v>
      </c>
      <c r="AA51" s="116">
        <v>0.16744692784157078</v>
      </c>
    </row>
    <row r="52" spans="1:27">
      <c r="A52" s="112" t="s">
        <v>93</v>
      </c>
      <c r="B52" s="113">
        <v>125</v>
      </c>
      <c r="C52" s="114">
        <v>3.43967105263158E-2</v>
      </c>
      <c r="D52" s="114">
        <v>0.13074843709346179</v>
      </c>
      <c r="E52" s="114">
        <v>0.21421867033781458</v>
      </c>
      <c r="F52" s="114">
        <v>0.21031036635138367</v>
      </c>
      <c r="G52" s="115">
        <v>0.95764855095064716</v>
      </c>
      <c r="H52" s="115">
        <v>1.0479358847691829</v>
      </c>
      <c r="I52" s="114">
        <v>5.8762573761105427E-2</v>
      </c>
      <c r="J52" s="114">
        <v>0.34280553440309797</v>
      </c>
      <c r="K52" s="114">
        <v>2.58E-2</v>
      </c>
      <c r="L52" s="114">
        <v>0.16424258943543665</v>
      </c>
      <c r="M52" s="114">
        <v>5.2204601414117639E-2</v>
      </c>
      <c r="N52" s="115">
        <v>1.7786859034556404</v>
      </c>
      <c r="O52" s="115">
        <v>3.0635239041521163</v>
      </c>
      <c r="P52" s="115">
        <v>16.702375922383748</v>
      </c>
      <c r="Q52" s="115">
        <v>23.08223261612077</v>
      </c>
      <c r="R52" s="115">
        <v>4.5467163726401187</v>
      </c>
      <c r="S52" s="115">
        <v>46.086855188000342</v>
      </c>
      <c r="T52" s="114">
        <v>0.23307038550191156</v>
      </c>
      <c r="U52" s="114">
        <v>2.4372114670142813E-2</v>
      </c>
      <c r="V52" s="114">
        <v>3.9940132462024158E-2</v>
      </c>
      <c r="W52" s="114">
        <v>0.20624806560247491</v>
      </c>
      <c r="X52" s="114">
        <v>0.12648074359235931</v>
      </c>
      <c r="Y52" s="114">
        <v>0.45374411409152809</v>
      </c>
      <c r="Z52" s="114">
        <v>0.45374411409152815</v>
      </c>
      <c r="AA52" s="116">
        <v>0.13211554307149764</v>
      </c>
    </row>
    <row r="53" spans="1:27">
      <c r="A53" s="112" t="s">
        <v>94</v>
      </c>
      <c r="B53" s="113">
        <v>86</v>
      </c>
      <c r="C53" s="114">
        <v>4.0199166666666668E-2</v>
      </c>
      <c r="D53" s="114">
        <v>0.11465099887537564</v>
      </c>
      <c r="E53" s="114">
        <v>0.10749615366753695</v>
      </c>
      <c r="F53" s="114">
        <v>0.51983873934637326</v>
      </c>
      <c r="G53" s="115">
        <v>0.81914572438014077</v>
      </c>
      <c r="H53" s="115">
        <v>0.90372282655970038</v>
      </c>
      <c r="I53" s="114">
        <v>5.1955717413617861E-2</v>
      </c>
      <c r="J53" s="114">
        <v>0.67840264511417692</v>
      </c>
      <c r="K53" s="114">
        <v>4.0925000000000003E-2</v>
      </c>
      <c r="L53" s="114">
        <v>0.19261882065164609</v>
      </c>
      <c r="M53" s="114">
        <v>4.7702603820969684E-2</v>
      </c>
      <c r="N53" s="115">
        <v>0.97098469690152778</v>
      </c>
      <c r="O53" s="115">
        <v>2.9961886099567443</v>
      </c>
      <c r="P53" s="115">
        <v>13.901198791089055</v>
      </c>
      <c r="Q53" s="115">
        <v>25.920174938045761</v>
      </c>
      <c r="R53" s="115">
        <v>3.2865078885347216</v>
      </c>
      <c r="S53" s="115">
        <v>44.419732750252479</v>
      </c>
      <c r="T53" s="114">
        <v>0.14295395247247653</v>
      </c>
      <c r="U53" s="114">
        <v>8.9760409245511458E-2</v>
      </c>
      <c r="V53" s="114">
        <v>1.0325301873605076E-2</v>
      </c>
      <c r="W53" s="114">
        <v>-7.4608811211580681E-2</v>
      </c>
      <c r="X53" s="114">
        <v>2.6737409474055483E-2</v>
      </c>
      <c r="Y53" s="114">
        <v>1.9735534728963189</v>
      </c>
      <c r="Z53" s="114">
        <v>1.9735534728963189</v>
      </c>
      <c r="AA53" s="116">
        <v>0.11262436965250604</v>
      </c>
    </row>
    <row r="54" spans="1:27">
      <c r="A54" s="112" t="s">
        <v>95</v>
      </c>
      <c r="B54" s="113">
        <v>22</v>
      </c>
      <c r="C54" s="114">
        <v>7.8357142857142844E-3</v>
      </c>
      <c r="D54" s="114">
        <v>7.5005935717559216E-2</v>
      </c>
      <c r="E54" s="114">
        <v>0.12839147542241577</v>
      </c>
      <c r="F54" s="114">
        <v>0.23999728394642578</v>
      </c>
      <c r="G54" s="115">
        <v>0.83430915107503556</v>
      </c>
      <c r="H54" s="115">
        <v>1.0002964815877964</v>
      </c>
      <c r="I54" s="114">
        <v>5.6513993930943987E-2</v>
      </c>
      <c r="J54" s="114">
        <v>0.31111572613682442</v>
      </c>
      <c r="K54" s="114">
        <v>2.58E-2</v>
      </c>
      <c r="L54" s="114">
        <v>0.32350717310232507</v>
      </c>
      <c r="M54" s="114">
        <v>4.4324245611831528E-2</v>
      </c>
      <c r="N54" s="115">
        <v>1.972113714604361</v>
      </c>
      <c r="O54" s="115">
        <v>1.1194240858943512</v>
      </c>
      <c r="P54" s="115">
        <v>8.8204688607122339</v>
      </c>
      <c r="Q54" s="115">
        <v>14.773431283161203</v>
      </c>
      <c r="R54" s="115">
        <v>2.6021235267337746</v>
      </c>
      <c r="S54" s="115">
        <v>33.034458299910348</v>
      </c>
      <c r="T54" s="114">
        <v>6.659256682513652E-2</v>
      </c>
      <c r="U54" s="114">
        <v>2.8121497236440328E-2</v>
      </c>
      <c r="V54" s="114">
        <v>3.6925574384203833E-3</v>
      </c>
      <c r="W54" s="114">
        <v>-0.10660481631796878</v>
      </c>
      <c r="X54" s="114">
        <v>6.3627655774788114E-2</v>
      </c>
      <c r="Y54" s="114">
        <v>0.91771209866042969</v>
      </c>
      <c r="Z54" s="114">
        <v>0.91771209866042969</v>
      </c>
      <c r="AA54" s="116">
        <v>7.5108065481656369E-2</v>
      </c>
    </row>
    <row r="55" spans="1:27">
      <c r="A55" s="112" t="s">
        <v>96</v>
      </c>
      <c r="B55" s="113">
        <v>3</v>
      </c>
      <c r="C55" s="114">
        <v>-1.2399999999999996E-2</v>
      </c>
      <c r="D55" s="114">
        <v>-4.2742659174976001E-2</v>
      </c>
      <c r="E55" s="114">
        <v>-2.3337328566244785E-2</v>
      </c>
      <c r="F55" s="114">
        <v>0.25627413127413129</v>
      </c>
      <c r="G55" s="115">
        <v>0.98781333722591802</v>
      </c>
      <c r="H55" s="115">
        <v>1.2606140135050163</v>
      </c>
      <c r="I55" s="114">
        <v>6.8800981437436765E-2</v>
      </c>
      <c r="J55" s="114">
        <v>0.2638843975896713</v>
      </c>
      <c r="K55" s="114">
        <v>2.58E-2</v>
      </c>
      <c r="L55" s="114">
        <v>0.30601073208560187</v>
      </c>
      <c r="M55" s="114">
        <v>5.3510548867659061E-2</v>
      </c>
      <c r="N55" s="115">
        <v>0.64497248659890083</v>
      </c>
      <c r="O55" s="115">
        <v>1.5354222004654785</v>
      </c>
      <c r="P55" s="115">
        <v>10.77335432691406</v>
      </c>
      <c r="Q55" s="115" t="s">
        <v>160</v>
      </c>
      <c r="R55" s="115">
        <v>1.049004784404624</v>
      </c>
      <c r="S55" s="115">
        <v>52.496325301204813</v>
      </c>
      <c r="T55" s="114">
        <v>5.3864505457740422E-2</v>
      </c>
      <c r="U55" s="114">
        <v>0.11103398463515529</v>
      </c>
      <c r="V55" s="114">
        <v>-6.7250118034775708E-2</v>
      </c>
      <c r="W55" s="114" t="s">
        <v>160</v>
      </c>
      <c r="X55" s="114">
        <v>-6.1885538898176169E-2</v>
      </c>
      <c r="Y55" s="114">
        <v>4.477710843373494E-2</v>
      </c>
      <c r="Z55" s="114">
        <v>4.4777108433734947E-2</v>
      </c>
      <c r="AA55" s="116">
        <v>-3.9580054827587807E-2</v>
      </c>
    </row>
    <row r="56" spans="1:27">
      <c r="A56" s="112" t="s">
        <v>97</v>
      </c>
      <c r="B56" s="113">
        <v>278</v>
      </c>
      <c r="C56" s="114">
        <v>-1.1709734513274346E-2</v>
      </c>
      <c r="D56" s="114">
        <v>-0.21398495731025832</v>
      </c>
      <c r="E56" s="114">
        <v>-6.3286791128160005E-2</v>
      </c>
      <c r="F56" s="114">
        <v>0.28594713349681666</v>
      </c>
      <c r="G56" s="115">
        <v>0.81079402463970451</v>
      </c>
      <c r="H56" s="115">
        <v>1.1833905955492112</v>
      </c>
      <c r="I56" s="114">
        <v>6.5156036109922766E-2</v>
      </c>
      <c r="J56" s="114">
        <v>0.56276274246951741</v>
      </c>
      <c r="K56" s="114">
        <v>2.9980000000000003E-2</v>
      </c>
      <c r="L56" s="114">
        <v>0.41886421491621328</v>
      </c>
      <c r="M56" s="114">
        <v>4.7031515086814822E-2</v>
      </c>
      <c r="N56" s="115">
        <v>0.30783868368108652</v>
      </c>
      <c r="O56" s="115">
        <v>2.9075110392871673</v>
      </c>
      <c r="P56" s="115">
        <v>6.3941465877313668</v>
      </c>
      <c r="Q56" s="115" t="s">
        <v>160</v>
      </c>
      <c r="R56" s="115">
        <v>1.2088683318955453</v>
      </c>
      <c r="S56" s="115">
        <v>26.134360751561921</v>
      </c>
      <c r="T56" s="114">
        <v>1.2895675227694475E-2</v>
      </c>
      <c r="U56" s="114">
        <v>0.38822244842950576</v>
      </c>
      <c r="V56" s="114">
        <v>-0.22847164912298079</v>
      </c>
      <c r="W56" s="114" t="s">
        <v>160</v>
      </c>
      <c r="X56" s="114">
        <v>-0.37085636682963297</v>
      </c>
      <c r="Y56" s="114">
        <v>1.6772595857949251E-2</v>
      </c>
      <c r="Z56" s="114">
        <v>1.6772595857949213E-2</v>
      </c>
      <c r="AA56" s="116">
        <v>-0.20698845788428941</v>
      </c>
    </row>
    <row r="57" spans="1:27">
      <c r="A57" s="112" t="s">
        <v>98</v>
      </c>
      <c r="B57" s="113">
        <v>57</v>
      </c>
      <c r="C57" s="114">
        <v>0.10740717948717951</v>
      </c>
      <c r="D57" s="114">
        <v>0.17432125042370422</v>
      </c>
      <c r="E57" s="114">
        <v>9.0100144553245262E-2</v>
      </c>
      <c r="F57" s="114">
        <v>8.7401349156890656E-2</v>
      </c>
      <c r="G57" s="115">
        <v>0.60254955065697147</v>
      </c>
      <c r="H57" s="115">
        <v>1.1569354576468236</v>
      </c>
      <c r="I57" s="114">
        <v>6.390735360093007E-2</v>
      </c>
      <c r="J57" s="114">
        <v>0.40777804780152754</v>
      </c>
      <c r="K57" s="114">
        <v>2.9980000000000003E-2</v>
      </c>
      <c r="L57" s="114">
        <v>0.56463665052649537</v>
      </c>
      <c r="M57" s="114">
        <v>4.0180218471121118E-2</v>
      </c>
      <c r="N57" s="115">
        <v>0.54322745466860212</v>
      </c>
      <c r="O57" s="115">
        <v>2.4248652088923657</v>
      </c>
      <c r="P57" s="115">
        <v>9.1233312166575953</v>
      </c>
      <c r="Q57" s="115">
        <v>13.945658781175549</v>
      </c>
      <c r="R57" s="115">
        <v>1.24018893184319</v>
      </c>
      <c r="S57" s="115">
        <v>37.082779959348315</v>
      </c>
      <c r="T57" s="114">
        <v>6.9728071743145256E-2</v>
      </c>
      <c r="U57" s="114">
        <v>0.13481286549343449</v>
      </c>
      <c r="V57" s="114">
        <v>5.0148697565255682E-2</v>
      </c>
      <c r="W57" s="114">
        <v>0.36477100667666951</v>
      </c>
      <c r="X57" s="114">
        <v>1.2807842501367015E-2</v>
      </c>
      <c r="Y57" s="114">
        <v>4.6592914932410093E-2</v>
      </c>
      <c r="Z57" s="114">
        <v>4.6592914932410134E-2</v>
      </c>
      <c r="AA57" s="116">
        <v>0.17376178369902853</v>
      </c>
    </row>
    <row r="58" spans="1:27">
      <c r="A58" s="112" t="s">
        <v>99</v>
      </c>
      <c r="B58" s="113">
        <v>135</v>
      </c>
      <c r="C58" s="114">
        <v>-6.8566034482758637E-2</v>
      </c>
      <c r="D58" s="114">
        <v>4.7401817432219584E-3</v>
      </c>
      <c r="E58" s="114">
        <v>1.2932644090616056E-2</v>
      </c>
      <c r="F58" s="114">
        <v>4.3658438018919055E-2</v>
      </c>
      <c r="G58" s="115">
        <v>0.83514699572106865</v>
      </c>
      <c r="H58" s="115">
        <v>1.207736156526019</v>
      </c>
      <c r="I58" s="114">
        <v>6.6305146588028094E-2</v>
      </c>
      <c r="J58" s="114">
        <v>0.50267474468728313</v>
      </c>
      <c r="K58" s="114">
        <v>2.9980000000000003E-2</v>
      </c>
      <c r="L58" s="114">
        <v>0.43642107631601756</v>
      </c>
      <c r="M58" s="114">
        <v>4.6919432972396126E-2</v>
      </c>
      <c r="N58" s="115">
        <v>1.8801409219692327</v>
      </c>
      <c r="O58" s="115">
        <v>0.7342577025313457</v>
      </c>
      <c r="P58" s="115">
        <v>11.347598966546137</v>
      </c>
      <c r="Q58" s="115">
        <v>95.775016728609842</v>
      </c>
      <c r="R58" s="115">
        <v>1.3032352417280142</v>
      </c>
      <c r="S58" s="115">
        <v>31.776149931718642</v>
      </c>
      <c r="T58" s="114">
        <v>0.1140675782923368</v>
      </c>
      <c r="U58" s="114">
        <v>4.1399140362135954E-2</v>
      </c>
      <c r="V58" s="114">
        <v>-7.939312059139853E-4</v>
      </c>
      <c r="W58" s="114">
        <v>-0.39825324699839454</v>
      </c>
      <c r="X58" s="114">
        <v>-0.26630862548974504</v>
      </c>
      <c r="Y58" s="114">
        <v>3.0415759862292557E-3</v>
      </c>
      <c r="Z58" s="114">
        <v>3.041575986229228E-3</v>
      </c>
      <c r="AA58" s="116">
        <v>6.9636398233456145E-3</v>
      </c>
    </row>
    <row r="59" spans="1:27">
      <c r="A59" s="112" t="s">
        <v>100</v>
      </c>
      <c r="B59" s="113">
        <v>26</v>
      </c>
      <c r="C59" s="114">
        <v>2.5224210526315786E-2</v>
      </c>
      <c r="D59" s="114">
        <v>9.6640986273185708E-2</v>
      </c>
      <c r="E59" s="114">
        <v>0.12248725976415933</v>
      </c>
      <c r="F59" s="114">
        <v>0.25382644406604221</v>
      </c>
      <c r="G59" s="115">
        <v>0.68234288150770084</v>
      </c>
      <c r="H59" s="115">
        <v>0.92162110120204421</v>
      </c>
      <c r="I59" s="114">
        <v>5.280051597673649E-2</v>
      </c>
      <c r="J59" s="114">
        <v>0.29215495035874861</v>
      </c>
      <c r="K59" s="114">
        <v>2.58E-2</v>
      </c>
      <c r="L59" s="114">
        <v>0.35530389787857364</v>
      </c>
      <c r="M59" s="114">
        <v>4.0732080452847166E-2</v>
      </c>
      <c r="N59" s="115">
        <v>1.4717693406459775</v>
      </c>
      <c r="O59" s="115">
        <v>1.7169827985643689</v>
      </c>
      <c r="P59" s="115">
        <v>10.335189534200357</v>
      </c>
      <c r="Q59" s="115">
        <v>17.478590949457661</v>
      </c>
      <c r="R59" s="115">
        <v>3.757301185065967</v>
      </c>
      <c r="S59" s="115">
        <v>24.252317258960598</v>
      </c>
      <c r="T59" s="114">
        <v>7.2306057760691572E-2</v>
      </c>
      <c r="U59" s="114">
        <v>5.339046494887028E-2</v>
      </c>
      <c r="V59" s="114">
        <v>2.177664819877731E-2</v>
      </c>
      <c r="W59" s="114">
        <v>0.22765881308245103</v>
      </c>
      <c r="X59" s="114">
        <v>9.7590767983516832E-2</v>
      </c>
      <c r="Y59" s="114">
        <v>0.64944731364503272</v>
      </c>
      <c r="Z59" s="114">
        <v>0.64944731364503272</v>
      </c>
      <c r="AA59" s="116">
        <v>9.8607501324625077E-2</v>
      </c>
    </row>
    <row r="60" spans="1:27">
      <c r="A60" s="112" t="s">
        <v>101</v>
      </c>
      <c r="B60" s="113">
        <v>15</v>
      </c>
      <c r="C60" s="114">
        <v>5.0610000000000021E-3</v>
      </c>
      <c r="D60" s="114">
        <v>5.8431923014684153E-2</v>
      </c>
      <c r="E60" s="114">
        <v>8.3773386908042535E-2</v>
      </c>
      <c r="F60" s="114">
        <v>0.21086814763291745</v>
      </c>
      <c r="G60" s="115">
        <v>0.95918786556922253</v>
      </c>
      <c r="H60" s="115">
        <v>1.1387183512788366</v>
      </c>
      <c r="I60" s="114">
        <v>6.304750618036109E-2</v>
      </c>
      <c r="J60" s="114">
        <v>0.35669571939417954</v>
      </c>
      <c r="K60" s="114">
        <v>2.58E-2</v>
      </c>
      <c r="L60" s="114">
        <v>0.27285585374762972</v>
      </c>
      <c r="M60" s="114">
        <v>5.0983592204342558E-2</v>
      </c>
      <c r="N60" s="115">
        <v>1.4821096503747624</v>
      </c>
      <c r="O60" s="115">
        <v>0.94369086049964812</v>
      </c>
      <c r="P60" s="115">
        <v>7.7090415384646294</v>
      </c>
      <c r="Q60" s="115">
        <v>15.645062769895638</v>
      </c>
      <c r="R60" s="115">
        <v>1.6062131835036193</v>
      </c>
      <c r="S60" s="115">
        <v>20.046811587596142</v>
      </c>
      <c r="T60" s="114">
        <v>0.15400195670021366</v>
      </c>
      <c r="U60" s="114">
        <v>3.8510324637052895E-2</v>
      </c>
      <c r="V60" s="114">
        <v>-2.8965992312751398E-3</v>
      </c>
      <c r="W60" s="114">
        <v>-0.27911323242144731</v>
      </c>
      <c r="X60" s="114">
        <v>4.694524584126205E-2</v>
      </c>
      <c r="Y60" s="114">
        <v>1.1751668769654215</v>
      </c>
      <c r="Z60" s="114">
        <v>1.1751668769654215</v>
      </c>
      <c r="AA60" s="116">
        <v>6.0084556502187678E-2</v>
      </c>
    </row>
    <row r="61" spans="1:27">
      <c r="A61" s="112" t="s">
        <v>102</v>
      </c>
      <c r="B61" s="113">
        <v>55</v>
      </c>
      <c r="C61" s="114">
        <v>1.0116808510638295E-2</v>
      </c>
      <c r="D61" s="114">
        <v>0.19820463829809831</v>
      </c>
      <c r="E61" s="114">
        <v>6.8022090326851803E-2</v>
      </c>
      <c r="F61" s="114">
        <v>0.11022539636200014</v>
      </c>
      <c r="G61" s="115">
        <v>0.43089894553631297</v>
      </c>
      <c r="H61" s="115">
        <v>0.66653691588490227</v>
      </c>
      <c r="I61" s="114">
        <v>4.0760542429767385E-2</v>
      </c>
      <c r="J61" s="114">
        <v>0.1985988098435171</v>
      </c>
      <c r="K61" s="114">
        <v>1.9200000000000002E-2</v>
      </c>
      <c r="L61" s="114">
        <v>0.43846095917670846</v>
      </c>
      <c r="M61" s="114">
        <v>2.9034104703269403E-2</v>
      </c>
      <c r="N61" s="115">
        <v>0.38499021153035667</v>
      </c>
      <c r="O61" s="115">
        <v>4.3654784348990487</v>
      </c>
      <c r="P61" s="115">
        <v>11.886012377389731</v>
      </c>
      <c r="Q61" s="115">
        <v>22.257213209873189</v>
      </c>
      <c r="R61" s="115">
        <v>1.9013502632090518</v>
      </c>
      <c r="S61" s="115">
        <v>21.953539691815568</v>
      </c>
      <c r="T61" s="114">
        <v>2.5709267919529984E-2</v>
      </c>
      <c r="U61" s="114">
        <v>0.35107335678984564</v>
      </c>
      <c r="V61" s="114">
        <v>0.20554745056513421</v>
      </c>
      <c r="W61" s="114">
        <v>1.195335560604849</v>
      </c>
      <c r="X61" s="114">
        <v>7.6868186075376432E-2</v>
      </c>
      <c r="Y61" s="114">
        <v>0.87588612412849476</v>
      </c>
      <c r="Z61" s="114">
        <v>0.87588612412849476</v>
      </c>
      <c r="AA61" s="116">
        <v>0.19611736910155966</v>
      </c>
    </row>
    <row r="62" spans="1:27">
      <c r="A62" s="112" t="s">
        <v>103</v>
      </c>
      <c r="B62" s="113">
        <v>93</v>
      </c>
      <c r="C62" s="114">
        <v>3.1650909090909091E-2</v>
      </c>
      <c r="D62" s="114">
        <v>0.21479103883077061</v>
      </c>
      <c r="E62" s="114">
        <v>9.8743875368423023E-2</v>
      </c>
      <c r="F62" s="114">
        <v>0.1813211341779995</v>
      </c>
      <c r="G62" s="115">
        <v>0.75268089182165343</v>
      </c>
      <c r="H62" s="115">
        <v>0.75722241098522591</v>
      </c>
      <c r="I62" s="114">
        <v>4.5040897798502663E-2</v>
      </c>
      <c r="J62" s="114">
        <v>0.67763412020990454</v>
      </c>
      <c r="K62" s="114">
        <v>4.0925000000000003E-2</v>
      </c>
      <c r="L62" s="114">
        <v>0.112623488142298</v>
      </c>
      <c r="M62" s="114">
        <v>4.3332889643497734E-2</v>
      </c>
      <c r="N62" s="115">
        <v>0.46131827015132543</v>
      </c>
      <c r="O62" s="115">
        <v>4.8166170023120944</v>
      </c>
      <c r="P62" s="115">
        <v>10.29895210389425</v>
      </c>
      <c r="Q62" s="115">
        <v>21.447009085372958</v>
      </c>
      <c r="R62" s="115">
        <v>2.1916210223327619</v>
      </c>
      <c r="S62" s="115">
        <v>86.454170201567749</v>
      </c>
      <c r="T62" s="114">
        <v>0.11992866477531236</v>
      </c>
      <c r="U62" s="114">
        <v>0.12997655288825916</v>
      </c>
      <c r="V62" s="114">
        <v>-8.1864633393163536E-2</v>
      </c>
      <c r="W62" s="114">
        <v>-0.44223774482057743</v>
      </c>
      <c r="X62" s="114">
        <v>8.2699163199042053E-2</v>
      </c>
      <c r="Y62" s="114">
        <v>0.3190804543851265</v>
      </c>
      <c r="Z62" s="114">
        <v>0.31908045438512644</v>
      </c>
      <c r="AA62" s="116">
        <v>0.21639308705395235</v>
      </c>
    </row>
    <row r="63" spans="1:27">
      <c r="A63" s="112" t="s">
        <v>228</v>
      </c>
      <c r="B63" s="113">
        <v>29</v>
      </c>
      <c r="C63" s="114">
        <v>3.0811764705882326E-3</v>
      </c>
      <c r="D63" s="114">
        <v>5.6433989686274819E-2</v>
      </c>
      <c r="E63" s="114">
        <v>0.10481911231511697</v>
      </c>
      <c r="F63" s="114">
        <v>0.237931513509759</v>
      </c>
      <c r="G63" s="115">
        <v>1.1058928086855666</v>
      </c>
      <c r="H63" s="115">
        <v>1.4081707476360148</v>
      </c>
      <c r="I63" s="114">
        <v>7.5765659288419898E-2</v>
      </c>
      <c r="J63" s="114">
        <v>0.37469457859611055</v>
      </c>
      <c r="K63" s="114">
        <v>2.58E-2</v>
      </c>
      <c r="L63" s="114">
        <v>0.3506570567572469</v>
      </c>
      <c r="M63" s="114">
        <v>5.58021712060362E-2</v>
      </c>
      <c r="N63" s="115">
        <v>2.0940679220111589</v>
      </c>
      <c r="O63" s="115">
        <v>1.1672414575150774</v>
      </c>
      <c r="P63" s="115">
        <v>9.7685891595619463</v>
      </c>
      <c r="Q63" s="115">
        <v>21.764632043006802</v>
      </c>
      <c r="R63" s="115">
        <v>2.0728288706202052</v>
      </c>
      <c r="S63" s="115">
        <v>48.936283563714277</v>
      </c>
      <c r="T63" s="114">
        <v>0.11595179418705917</v>
      </c>
      <c r="U63" s="114">
        <v>2.6935334536692845E-2</v>
      </c>
      <c r="V63" s="114">
        <v>5.6288048002505545E-3</v>
      </c>
      <c r="W63" s="114">
        <v>-4.9119547429444022E-2</v>
      </c>
      <c r="X63" s="114">
        <v>-0.14184457993821981</v>
      </c>
      <c r="Y63" s="114">
        <v>5.4255396750000186E-3</v>
      </c>
      <c r="Z63" s="114">
        <v>5.4255396750000351E-3</v>
      </c>
      <c r="AA63" s="116">
        <v>5.3133700414144995E-2</v>
      </c>
    </row>
    <row r="64" spans="1:27">
      <c r="A64" s="112" t="s">
        <v>104</v>
      </c>
      <c r="B64" s="113">
        <v>238</v>
      </c>
      <c r="C64" s="114">
        <v>6.808419354838717E-2</v>
      </c>
      <c r="D64" s="114">
        <v>0.23233180736213863</v>
      </c>
      <c r="E64" s="114">
        <v>2.0493526397506158E-2</v>
      </c>
      <c r="F64" s="114">
        <v>2.4742221389100028E-2</v>
      </c>
      <c r="G64" s="115">
        <v>0.79434176241562093</v>
      </c>
      <c r="H64" s="115">
        <v>1.2058791394920116</v>
      </c>
      <c r="I64" s="114">
        <v>6.6217495384022954E-2</v>
      </c>
      <c r="J64" s="114">
        <v>0.32404663855566707</v>
      </c>
      <c r="K64" s="114">
        <v>2.58E-2</v>
      </c>
      <c r="L64" s="114">
        <v>0.43415228137378137</v>
      </c>
      <c r="M64" s="114">
        <v>4.5645842763585347E-2</v>
      </c>
      <c r="N64" s="115">
        <v>0.10894301479869328</v>
      </c>
      <c r="O64" s="115">
        <v>12.853445702702684</v>
      </c>
      <c r="P64" s="115">
        <v>22.717249672863435</v>
      </c>
      <c r="Q64" s="115">
        <v>61.429724826063385</v>
      </c>
      <c r="R64" s="115">
        <v>2.1147543748611648</v>
      </c>
      <c r="S64" s="115">
        <v>62.999428661447418</v>
      </c>
      <c r="T64" s="114">
        <v>0.89650168063432811</v>
      </c>
      <c r="U64" s="114">
        <v>3.2383819583702858E-2</v>
      </c>
      <c r="V64" s="114">
        <v>-0.15306880511760745</v>
      </c>
      <c r="W64" s="114">
        <v>-0.75125791720008028</v>
      </c>
      <c r="X64" s="114">
        <v>2.1691376983900851E-2</v>
      </c>
      <c r="Y64" s="114">
        <v>4.3049264254942177</v>
      </c>
      <c r="Z64" s="114">
        <v>4.3049264254942177</v>
      </c>
      <c r="AA64" s="116">
        <v>0.19052205895653385</v>
      </c>
    </row>
    <row r="65" spans="1:27">
      <c r="A65" s="112" t="s">
        <v>105</v>
      </c>
      <c r="B65" s="113">
        <v>25</v>
      </c>
      <c r="C65" s="114">
        <v>-0.19924799999999998</v>
      </c>
      <c r="D65" s="114">
        <v>-3.6384489715034919E-2</v>
      </c>
      <c r="E65" s="114">
        <v>-1.4133381657184096E-2</v>
      </c>
      <c r="F65" s="114">
        <v>0.27317073170731709</v>
      </c>
      <c r="G65" s="115">
        <v>0.56411584796804493</v>
      </c>
      <c r="H65" s="115">
        <v>0.8485468366232567</v>
      </c>
      <c r="I65" s="114">
        <v>4.9351410688617717E-2</v>
      </c>
      <c r="J65" s="114">
        <v>0.60695873454611438</v>
      </c>
      <c r="K65" s="114">
        <v>2.9980000000000003E-2</v>
      </c>
      <c r="L65" s="114">
        <v>0.48638568069384158</v>
      </c>
      <c r="M65" s="114">
        <v>3.5992336383890058E-2</v>
      </c>
      <c r="N65" s="115">
        <v>0.21705428819872297</v>
      </c>
      <c r="O65" s="115">
        <v>5.997432276524977</v>
      </c>
      <c r="P65" s="115">
        <v>47.574355721584382</v>
      </c>
      <c r="Q65" s="115" t="s">
        <v>160</v>
      </c>
      <c r="R65" s="115">
        <v>1.1875663171101498</v>
      </c>
      <c r="S65" s="115">
        <v>15.955592105263159</v>
      </c>
      <c r="T65" s="114">
        <v>-3.4129217043063889E-2</v>
      </c>
      <c r="U65" s="114">
        <v>0.33826843447784827</v>
      </c>
      <c r="V65" s="114">
        <v>0.21690308145710785</v>
      </c>
      <c r="W65" s="114" t="s">
        <v>160</v>
      </c>
      <c r="X65" s="114">
        <v>-1.2987379920889072E-3</v>
      </c>
      <c r="Y65" s="114">
        <v>0</v>
      </c>
      <c r="Z65" s="114">
        <v>0</v>
      </c>
      <c r="AA65" s="116">
        <v>-6.7020667474596257E-2</v>
      </c>
    </row>
    <row r="66" spans="1:27">
      <c r="A66" s="112" t="s">
        <v>106</v>
      </c>
      <c r="B66" s="113">
        <v>11</v>
      </c>
      <c r="C66" s="114">
        <v>9.2042499999999999E-2</v>
      </c>
      <c r="D66" s="114">
        <v>6.9303753313799371E-2</v>
      </c>
      <c r="E66" s="114">
        <v>1.9559257752687621E-2</v>
      </c>
      <c r="F66" s="114">
        <v>0.18499999999999997</v>
      </c>
      <c r="G66" s="115">
        <v>0.75886639235394016</v>
      </c>
      <c r="H66" s="115">
        <v>0.78076847371442626</v>
      </c>
      <c r="I66" s="114">
        <v>4.6152271959320923E-2</v>
      </c>
      <c r="J66" s="114">
        <v>0.20993179354391503</v>
      </c>
      <c r="K66" s="114">
        <v>1.9200000000000002E-2</v>
      </c>
      <c r="L66" s="114">
        <v>0.22611863374459878</v>
      </c>
      <c r="M66" s="114">
        <v>3.8885662050234415E-2</v>
      </c>
      <c r="N66" s="115">
        <v>0.33115359281110035</v>
      </c>
      <c r="O66" s="115">
        <v>6.8144572719394834</v>
      </c>
      <c r="P66" s="115">
        <v>25.25416971536394</v>
      </c>
      <c r="Q66" s="115">
        <v>78.401285959932977</v>
      </c>
      <c r="R66" s="115">
        <v>1.1866321450440618</v>
      </c>
      <c r="S66" s="115">
        <v>52.413073487914708</v>
      </c>
      <c r="T66" s="114">
        <v>3.0100767406167162</v>
      </c>
      <c r="U66" s="114">
        <v>2.5730431142737549E-2</v>
      </c>
      <c r="V66" s="114">
        <v>-2.9910701827821965E-2</v>
      </c>
      <c r="W66" s="114">
        <v>4.9744398920298813</v>
      </c>
      <c r="X66" s="114">
        <v>2.0017463435931023E-2</v>
      </c>
      <c r="Y66" s="114">
        <v>0.67611777535441642</v>
      </c>
      <c r="Z66" s="114">
        <v>0.67611777535441642</v>
      </c>
      <c r="AA66" s="116">
        <v>6.3742841691355648E-2</v>
      </c>
    </row>
    <row r="67" spans="1:27">
      <c r="A67" s="112" t="s">
        <v>107</v>
      </c>
      <c r="B67" s="113">
        <v>61</v>
      </c>
      <c r="C67" s="114">
        <v>2.0951249999999998E-2</v>
      </c>
      <c r="D67" s="114">
        <v>4.1314069988695017E-2</v>
      </c>
      <c r="E67" s="114">
        <v>7.9711332468772544E-2</v>
      </c>
      <c r="F67" s="114">
        <v>0.10487936387860981</v>
      </c>
      <c r="G67" s="115">
        <v>0.75588149918934744</v>
      </c>
      <c r="H67" s="115">
        <v>0.9208927333748228</v>
      </c>
      <c r="I67" s="114">
        <v>5.2766137015291634E-2</v>
      </c>
      <c r="J67" s="114">
        <v>0.34721661076275118</v>
      </c>
      <c r="K67" s="114">
        <v>2.58E-2</v>
      </c>
      <c r="L67" s="114">
        <v>0.28972378567559348</v>
      </c>
      <c r="M67" s="114">
        <v>4.2935189823158408E-2</v>
      </c>
      <c r="N67" s="115">
        <v>2.0466694347095413</v>
      </c>
      <c r="O67" s="115">
        <v>1.5620549062342843</v>
      </c>
      <c r="P67" s="115">
        <v>14.823666944541676</v>
      </c>
      <c r="Q67" s="115">
        <v>32.308078336473812</v>
      </c>
      <c r="R67" s="115">
        <v>3.2119688855140058</v>
      </c>
      <c r="S67" s="115">
        <v>56.828067786122666</v>
      </c>
      <c r="T67" s="114">
        <v>0.14007796721130611</v>
      </c>
      <c r="U67" s="114">
        <v>1.2178573466827854E-2</v>
      </c>
      <c r="V67" s="114">
        <v>-6.3576461763783796E-3</v>
      </c>
      <c r="W67" s="114">
        <v>-0.93677769636555686</v>
      </c>
      <c r="X67" s="114">
        <v>4.7133292079770781E-2</v>
      </c>
      <c r="Y67" s="114">
        <v>0.39081018245225269</v>
      </c>
      <c r="Z67" s="114">
        <v>0.39081018245225274</v>
      </c>
      <c r="AA67" s="116">
        <v>4.0708392406484474E-2</v>
      </c>
    </row>
    <row r="68" spans="1:27">
      <c r="A68" s="112" t="s">
        <v>108</v>
      </c>
      <c r="B68" s="113">
        <v>69</v>
      </c>
      <c r="C68" s="114">
        <v>2.6224062499999999E-2</v>
      </c>
      <c r="D68" s="114">
        <v>6.8106734401567143E-2</v>
      </c>
      <c r="E68" s="114">
        <v>8.6520139931235238E-2</v>
      </c>
      <c r="F68" s="114">
        <v>0.22557740263103085</v>
      </c>
      <c r="G68" s="115">
        <v>0.77421948708534494</v>
      </c>
      <c r="H68" s="115">
        <v>0.86660497958902938</v>
      </c>
      <c r="I68" s="114">
        <v>5.0203755036602182E-2</v>
      </c>
      <c r="J68" s="114">
        <v>0.56399857639185591</v>
      </c>
      <c r="K68" s="114">
        <v>2.9980000000000003E-2</v>
      </c>
      <c r="L68" s="114">
        <v>0.19678085259101566</v>
      </c>
      <c r="M68" s="114">
        <v>4.4631244988524527E-2</v>
      </c>
      <c r="N68" s="115">
        <v>1.4245720046350399</v>
      </c>
      <c r="O68" s="115">
        <v>3.7330910404870941</v>
      </c>
      <c r="P68" s="115">
        <v>22.593235934486472</v>
      </c>
      <c r="Q68" s="115">
        <v>52.057461234948995</v>
      </c>
      <c r="R68" s="115">
        <v>10.37050813778886</v>
      </c>
      <c r="S68" s="115">
        <v>155.39430580205871</v>
      </c>
      <c r="T68" s="114">
        <v>0.1566398569548586</v>
      </c>
      <c r="U68" s="114">
        <v>4.5603247079010326E-2</v>
      </c>
      <c r="V68" s="114">
        <v>0.11377842440533756</v>
      </c>
      <c r="W68" s="114">
        <v>2.0677973858941097</v>
      </c>
      <c r="X68" s="114">
        <v>-7.1920265544044876E-2</v>
      </c>
      <c r="Y68" s="114">
        <v>7.0830936942906401E-3</v>
      </c>
      <c r="Z68" s="114">
        <v>7.0830936942906098E-3</v>
      </c>
      <c r="AA68" s="116">
        <v>6.442441565709045E-2</v>
      </c>
    </row>
    <row r="69" spans="1:27">
      <c r="A69" s="112" t="s">
        <v>109</v>
      </c>
      <c r="B69" s="113">
        <v>2</v>
      </c>
      <c r="C69" s="114">
        <v>9.11E-2</v>
      </c>
      <c r="D69" s="114">
        <v>4.2692780607763922E-2</v>
      </c>
      <c r="E69" s="114">
        <v>3.7434277758313074E-2</v>
      </c>
      <c r="F69" s="114">
        <v>0.25144508670520233</v>
      </c>
      <c r="G69" s="115">
        <v>1.1287984344732374</v>
      </c>
      <c r="H69" s="115">
        <v>1.1625522840974329</v>
      </c>
      <c r="I69" s="114">
        <v>6.4172467809398837E-2</v>
      </c>
      <c r="J69" s="114">
        <v>0.252283349677488</v>
      </c>
      <c r="K69" s="114">
        <v>2.58E-2</v>
      </c>
      <c r="L69" s="114">
        <v>0.27807845312560953</v>
      </c>
      <c r="M69" s="114">
        <v>5.1564816813875966E-2</v>
      </c>
      <c r="N69" s="115">
        <v>1.0172373176751821</v>
      </c>
      <c r="O69" s="115">
        <v>0.80749707015112049</v>
      </c>
      <c r="P69" s="115">
        <v>12.924039416278688</v>
      </c>
      <c r="Q69" s="115">
        <v>19.184172065966298</v>
      </c>
      <c r="R69" s="115">
        <v>0.74902142212425116</v>
      </c>
      <c r="S69" s="115">
        <v>15.20057915057915</v>
      </c>
      <c r="T69" s="114">
        <v>-7.6027577727033169E-2</v>
      </c>
      <c r="U69" s="114">
        <v>2.9202529422097312E-3</v>
      </c>
      <c r="V69" s="114">
        <v>-9.8234674161250621E-3</v>
      </c>
      <c r="W69" s="114">
        <v>-0.17142292109247392</v>
      </c>
      <c r="X69" s="114">
        <v>2.4193706884691728E-2</v>
      </c>
      <c r="Y69" s="114">
        <v>0.36149471974004876</v>
      </c>
      <c r="Z69" s="114">
        <v>0.36149471974004876</v>
      </c>
      <c r="AA69" s="116">
        <v>4.2091838385022701E-2</v>
      </c>
    </row>
    <row r="70" spans="1:27">
      <c r="A70" s="112" t="s">
        <v>229</v>
      </c>
      <c r="B70" s="113">
        <v>79</v>
      </c>
      <c r="C70" s="114">
        <v>8.3689361702127645E-3</v>
      </c>
      <c r="D70" s="114">
        <v>0.11362052797567285</v>
      </c>
      <c r="E70" s="114">
        <v>7.2401157514773648E-2</v>
      </c>
      <c r="F70" s="114">
        <v>0.18690061517325515</v>
      </c>
      <c r="G70" s="115">
        <v>1.1109354329268502</v>
      </c>
      <c r="H70" s="115">
        <v>1.3447999980982199</v>
      </c>
      <c r="I70" s="114">
        <v>7.2774559910235986E-2</v>
      </c>
      <c r="J70" s="114">
        <v>0.53625518686751139</v>
      </c>
      <c r="K70" s="114">
        <v>2.9980000000000003E-2</v>
      </c>
      <c r="L70" s="114">
        <v>0.25205862631121706</v>
      </c>
      <c r="M70" s="114">
        <v>5.9947508169130047E-2</v>
      </c>
      <c r="N70" s="115">
        <v>1.1412993265905524</v>
      </c>
      <c r="O70" s="115">
        <v>5.2680885093782539</v>
      </c>
      <c r="P70" s="115">
        <v>23.531642798240242</v>
      </c>
      <c r="Q70" s="115">
        <v>80.248550963463103</v>
      </c>
      <c r="R70" s="115" t="s">
        <v>160</v>
      </c>
      <c r="S70" s="115">
        <v>58.913182776746602</v>
      </c>
      <c r="T70" s="114">
        <v>2.8449815137323243E-2</v>
      </c>
      <c r="U70" s="114">
        <v>5.8222841973227538E-2</v>
      </c>
      <c r="V70" s="114">
        <v>2.4713858138244199E-2</v>
      </c>
      <c r="W70" s="114">
        <v>0.48715321107796872</v>
      </c>
      <c r="X70" s="114" t="s">
        <v>160</v>
      </c>
      <c r="Y70" s="114">
        <v>1.143323840028764</v>
      </c>
      <c r="Z70" s="114">
        <v>1.143323840028764</v>
      </c>
      <c r="AA70" s="116">
        <v>6.552930130985031E-2</v>
      </c>
    </row>
    <row r="71" spans="1:27">
      <c r="A71" s="112" t="s">
        <v>110</v>
      </c>
      <c r="B71" s="113">
        <v>30</v>
      </c>
      <c r="C71" s="114">
        <v>3.197875E-2</v>
      </c>
      <c r="D71" s="114">
        <v>6.4289637210557471E-2</v>
      </c>
      <c r="E71" s="114">
        <v>0.10101677694275035</v>
      </c>
      <c r="F71" s="114">
        <v>0.2318203274186281</v>
      </c>
      <c r="G71" s="115">
        <v>0.98995492836964694</v>
      </c>
      <c r="H71" s="115">
        <v>1.2983003362585088</v>
      </c>
      <c r="I71" s="114">
        <v>7.0579775871401615E-2</v>
      </c>
      <c r="J71" s="114">
        <v>0.42818769334060935</v>
      </c>
      <c r="K71" s="114">
        <v>2.9980000000000003E-2</v>
      </c>
      <c r="L71" s="114">
        <v>0.3320585102931527</v>
      </c>
      <c r="M71" s="114">
        <v>5.4410393959889156E-2</v>
      </c>
      <c r="N71" s="115">
        <v>2.0854857642689666</v>
      </c>
      <c r="O71" s="115">
        <v>1.2354713774059443</v>
      </c>
      <c r="P71" s="115">
        <v>11.562920284920681</v>
      </c>
      <c r="Q71" s="115">
        <v>19.837016676554224</v>
      </c>
      <c r="R71" s="115">
        <v>5.9878888413419507</v>
      </c>
      <c r="S71" s="115">
        <v>17.520871329775961</v>
      </c>
      <c r="T71" s="114">
        <v>0.10951001226456983</v>
      </c>
      <c r="U71" s="114">
        <v>1.8102295966422211E-2</v>
      </c>
      <c r="V71" s="114">
        <v>1.7203559314504849E-2</v>
      </c>
      <c r="W71" s="114">
        <v>-0.23160788717362138</v>
      </c>
      <c r="X71" s="114">
        <v>0.36275557642954948</v>
      </c>
      <c r="Y71" s="114">
        <v>3.723462603920915E-2</v>
      </c>
      <c r="Z71" s="114">
        <v>3.7234626039209129E-2</v>
      </c>
      <c r="AA71" s="116">
        <v>5.4824762680080623E-2</v>
      </c>
    </row>
    <row r="72" spans="1:27">
      <c r="A72" s="112" t="s">
        <v>111</v>
      </c>
      <c r="B72" s="113">
        <v>15</v>
      </c>
      <c r="C72" s="114">
        <v>6.4169166666666666E-2</v>
      </c>
      <c r="D72" s="114">
        <v>0.12788520167560441</v>
      </c>
      <c r="E72" s="114">
        <v>0.37473666366176334</v>
      </c>
      <c r="F72" s="114">
        <v>0.23936075728833486</v>
      </c>
      <c r="G72" s="115">
        <v>1.4364527693272269</v>
      </c>
      <c r="H72" s="115">
        <v>1.5448319293271313</v>
      </c>
      <c r="I72" s="114">
        <v>8.2216067064240603E-2</v>
      </c>
      <c r="J72" s="114">
        <v>0.40603906809638701</v>
      </c>
      <c r="K72" s="114">
        <v>2.9980000000000003E-2</v>
      </c>
      <c r="L72" s="114">
        <v>0.15314560322006773</v>
      </c>
      <c r="M72" s="114">
        <v>7.2976690664018407E-2</v>
      </c>
      <c r="N72" s="115">
        <v>3.4633208322498397</v>
      </c>
      <c r="O72" s="115">
        <v>2.0622277256162804</v>
      </c>
      <c r="P72" s="115">
        <v>12.587836152496534</v>
      </c>
      <c r="Q72" s="115">
        <v>16.492777890733734</v>
      </c>
      <c r="R72" s="115">
        <v>40.067052559766651</v>
      </c>
      <c r="S72" s="115">
        <v>140.10936326540158</v>
      </c>
      <c r="T72" s="114">
        <v>4.4594775385069403E-2</v>
      </c>
      <c r="U72" s="114">
        <v>2.0684112057608384E-2</v>
      </c>
      <c r="V72" s="114">
        <v>2.0227784508702832E-3</v>
      </c>
      <c r="W72" s="114">
        <v>-0.26454073195651945</v>
      </c>
      <c r="X72" s="114">
        <v>2.686575363030675E-3</v>
      </c>
      <c r="Y72" s="114">
        <v>0.45505512006155618</v>
      </c>
      <c r="Z72" s="114">
        <v>0.45505512006155624</v>
      </c>
      <c r="AA72" s="116">
        <v>0.12505116505894562</v>
      </c>
    </row>
    <row r="73" spans="1:27">
      <c r="A73" s="112" t="s">
        <v>112</v>
      </c>
      <c r="B73" s="113">
        <v>85</v>
      </c>
      <c r="C73" s="114">
        <v>4.6722708333333321E-2</v>
      </c>
      <c r="D73" s="114">
        <v>7.6995241319133698E-2</v>
      </c>
      <c r="E73" s="114">
        <v>0.11673794881176164</v>
      </c>
      <c r="F73" s="114">
        <v>0.25020494886257216</v>
      </c>
      <c r="G73" s="115">
        <v>0.75449309625563588</v>
      </c>
      <c r="H73" s="115">
        <v>0.97096425188941826</v>
      </c>
      <c r="I73" s="114">
        <v>5.5129512689180538E-2</v>
      </c>
      <c r="J73" s="114">
        <v>0.41974260521720291</v>
      </c>
      <c r="K73" s="114">
        <v>2.9980000000000003E-2</v>
      </c>
      <c r="L73" s="114">
        <v>0.31383121292981025</v>
      </c>
      <c r="M73" s="114">
        <v>4.4696472481159717E-2</v>
      </c>
      <c r="N73" s="115">
        <v>1.6830973049227915</v>
      </c>
      <c r="O73" s="115">
        <v>1.4939726023257278</v>
      </c>
      <c r="P73" s="115">
        <v>13.87615007968248</v>
      </c>
      <c r="Q73" s="115">
        <v>18.778751898007332</v>
      </c>
      <c r="R73" s="115">
        <v>3.3874229957444038</v>
      </c>
      <c r="S73" s="115">
        <v>138.4448999428416</v>
      </c>
      <c r="T73" s="114">
        <v>0.15537128690004551</v>
      </c>
      <c r="U73" s="114">
        <v>3.6818384306778341E-2</v>
      </c>
      <c r="V73" s="114">
        <v>5.0780477336164566E-2</v>
      </c>
      <c r="W73" s="114">
        <v>0.63113877989330724</v>
      </c>
      <c r="X73" s="114">
        <v>9.6715449262605488E-2</v>
      </c>
      <c r="Y73" s="114">
        <v>0.52365958147211733</v>
      </c>
      <c r="Z73" s="114">
        <v>0.52365958147211733</v>
      </c>
      <c r="AA73" s="116">
        <v>7.9007416643132877E-2</v>
      </c>
    </row>
    <row r="74" spans="1:27">
      <c r="A74" s="112" t="s">
        <v>113</v>
      </c>
      <c r="B74" s="113">
        <v>17</v>
      </c>
      <c r="C74" s="114">
        <v>2.4121428571428565E-2</v>
      </c>
      <c r="D74" s="114">
        <v>4.6295710867184911E-2</v>
      </c>
      <c r="E74" s="114">
        <v>0.14673499048151145</v>
      </c>
      <c r="F74" s="114">
        <v>0.24420249386604162</v>
      </c>
      <c r="G74" s="115">
        <v>0.8158161595249539</v>
      </c>
      <c r="H74" s="115">
        <v>0.89897819867715811</v>
      </c>
      <c r="I74" s="114">
        <v>5.1731770977561861E-2</v>
      </c>
      <c r="J74" s="114">
        <v>0.38910866422167528</v>
      </c>
      <c r="K74" s="114">
        <v>2.58E-2</v>
      </c>
      <c r="L74" s="114">
        <v>0.17589407943441762</v>
      </c>
      <c r="M74" s="114">
        <v>4.5945247836019318E-2</v>
      </c>
      <c r="N74" s="115">
        <v>4.0972805811128481</v>
      </c>
      <c r="O74" s="115">
        <v>0.9340125081690106</v>
      </c>
      <c r="P74" s="115">
        <v>12.294282269885292</v>
      </c>
      <c r="Q74" s="115">
        <v>22.811510729590694</v>
      </c>
      <c r="R74" s="115">
        <v>5.4346085713299237</v>
      </c>
      <c r="S74" s="115">
        <v>22.701744745699372</v>
      </c>
      <c r="T74" s="114">
        <v>5.8014148464668775E-4</v>
      </c>
      <c r="U74" s="114">
        <v>2.0052800278028426E-2</v>
      </c>
      <c r="V74" s="114">
        <v>2.2870350403747554E-4</v>
      </c>
      <c r="W74" s="114">
        <v>-0.42799778712423159</v>
      </c>
      <c r="X74" s="114">
        <v>0.20640612917682921</v>
      </c>
      <c r="Y74" s="114">
        <v>0.36119871746793664</v>
      </c>
      <c r="Z74" s="114">
        <v>0.36119871746793664</v>
      </c>
      <c r="AA74" s="116">
        <v>4.0922063266365161E-2</v>
      </c>
    </row>
    <row r="75" spans="1:27">
      <c r="A75" s="112" t="s">
        <v>114</v>
      </c>
      <c r="B75" s="113">
        <v>14</v>
      </c>
      <c r="C75" s="114">
        <v>6.2785714285714292E-2</v>
      </c>
      <c r="D75" s="114">
        <v>3.4779444708806617E-2</v>
      </c>
      <c r="E75" s="114">
        <v>9.6279911039397675E-2</v>
      </c>
      <c r="F75" s="114">
        <v>0.23434607862763521</v>
      </c>
      <c r="G75" s="115">
        <v>0.1522248643717008</v>
      </c>
      <c r="H75" s="115">
        <v>0.24210864998201992</v>
      </c>
      <c r="I75" s="114">
        <v>2.0727528279151339E-2</v>
      </c>
      <c r="J75" s="114">
        <v>0.37718928732646201</v>
      </c>
      <c r="K75" s="114">
        <v>2.58E-2</v>
      </c>
      <c r="L75" s="114">
        <v>0.48543831871077164</v>
      </c>
      <c r="M75" s="114">
        <v>1.9808337094888814E-2</v>
      </c>
      <c r="N75" s="115">
        <v>4.1134268219238068</v>
      </c>
      <c r="O75" s="115">
        <v>0.38776793300135814</v>
      </c>
      <c r="P75" s="115">
        <v>5.7468993960427213</v>
      </c>
      <c r="Q75" s="115">
        <v>14.309495478867953</v>
      </c>
      <c r="R75" s="115">
        <v>2.5056801114773628</v>
      </c>
      <c r="S75" s="115">
        <v>14.413462025265975</v>
      </c>
      <c r="T75" s="114">
        <v>-1.9838027348915957E-3</v>
      </c>
      <c r="U75" s="114">
        <v>2.2882199540951748E-2</v>
      </c>
      <c r="V75" s="114">
        <v>1.1046969695747576E-3</v>
      </c>
      <c r="W75" s="114">
        <v>-0.14716520493103935</v>
      </c>
      <c r="X75" s="114">
        <v>0.30626515873294846</v>
      </c>
      <c r="Y75" s="114">
        <v>0.12848662715142539</v>
      </c>
      <c r="Z75" s="114">
        <v>0.12848662715142534</v>
      </c>
      <c r="AA75" s="116">
        <v>2.7066363205398937E-2</v>
      </c>
    </row>
    <row r="76" spans="1:27">
      <c r="A76" s="112" t="s">
        <v>230</v>
      </c>
      <c r="B76" s="113">
        <v>75</v>
      </c>
      <c r="C76" s="114">
        <v>9.2834137931034511E-2</v>
      </c>
      <c r="D76" s="114">
        <v>5.7372759382091278E-2</v>
      </c>
      <c r="E76" s="114">
        <v>0.11041784163396202</v>
      </c>
      <c r="F76" s="114">
        <v>0.16129555163492154</v>
      </c>
      <c r="G76" s="115">
        <v>1.1376905330729945</v>
      </c>
      <c r="H76" s="115">
        <v>1.1641204247505164</v>
      </c>
      <c r="I76" s="114">
        <v>6.4246484048224375E-2</v>
      </c>
      <c r="J76" s="114">
        <v>0.5286592105592185</v>
      </c>
      <c r="K76" s="114">
        <v>2.9980000000000003E-2</v>
      </c>
      <c r="L76" s="114">
        <v>6.6688996192631633E-2</v>
      </c>
      <c r="M76" s="114">
        <v>6.1421465875416595E-2</v>
      </c>
      <c r="N76" s="115">
        <v>1.800799944356819</v>
      </c>
      <c r="O76" s="115">
        <v>4.706890357997243</v>
      </c>
      <c r="P76" s="115">
        <v>33.186332533470555</v>
      </c>
      <c r="Q76" s="115">
        <v>83.834248001141233</v>
      </c>
      <c r="R76" s="115">
        <v>18.624375683722551</v>
      </c>
      <c r="S76" s="115">
        <v>131.27291479009298</v>
      </c>
      <c r="T76" s="114">
        <v>-3.6977265241939838E-2</v>
      </c>
      <c r="U76" s="114">
        <v>7.7245105753089294E-2</v>
      </c>
      <c r="V76" s="114">
        <v>3.5451473830388706E-2</v>
      </c>
      <c r="W76" s="114">
        <v>0.55368646919442088</v>
      </c>
      <c r="X76" s="114">
        <v>0.27054629081222981</v>
      </c>
      <c r="Y76" s="114">
        <v>5.6606717324238713E-2</v>
      </c>
      <c r="Z76" s="114">
        <v>5.660671732423872E-2</v>
      </c>
      <c r="AA76" s="116">
        <v>6.2852935955527836E-2</v>
      </c>
    </row>
    <row r="77" spans="1:27">
      <c r="A77" s="112" t="s">
        <v>115</v>
      </c>
      <c r="B77" s="113">
        <v>85</v>
      </c>
      <c r="C77" s="114">
        <v>5.5705714285714282E-2</v>
      </c>
      <c r="D77" s="114">
        <v>2.8917338857007716E-2</v>
      </c>
      <c r="E77" s="114">
        <v>5.2896334413657438E-2</v>
      </c>
      <c r="F77" s="114">
        <v>0.24552721852134185</v>
      </c>
      <c r="G77" s="115">
        <v>1.0368527310405244</v>
      </c>
      <c r="H77" s="115">
        <v>1.2820025541587099</v>
      </c>
      <c r="I77" s="114">
        <v>6.9810520556291111E-2</v>
      </c>
      <c r="J77" s="114">
        <v>0.49009457304730047</v>
      </c>
      <c r="K77" s="114">
        <v>2.9980000000000003E-2</v>
      </c>
      <c r="L77" s="114">
        <v>0.32550445482921975</v>
      </c>
      <c r="M77" s="114">
        <v>5.4210680316990945E-2</v>
      </c>
      <c r="N77" s="115">
        <v>2.294482687456437</v>
      </c>
      <c r="O77" s="115">
        <v>1.1005434739152702</v>
      </c>
      <c r="P77" s="115">
        <v>11.399676175611779</v>
      </c>
      <c r="Q77" s="115">
        <v>43.753030514934892</v>
      </c>
      <c r="R77" s="115">
        <v>5.5134424211860349</v>
      </c>
      <c r="S77" s="115">
        <v>55.991884110178958</v>
      </c>
      <c r="T77" s="114">
        <v>4.7494439458487206E-2</v>
      </c>
      <c r="U77" s="114">
        <v>1.7848599906423814E-2</v>
      </c>
      <c r="V77" s="114">
        <v>5.0425815744955832E-4</v>
      </c>
      <c r="W77" s="114">
        <v>-1.7933947942274442</v>
      </c>
      <c r="X77" s="114">
        <v>-6.4035840075275909E-3</v>
      </c>
      <c r="Y77" s="114">
        <v>3.1960871250854409E-3</v>
      </c>
      <c r="Z77" s="114">
        <v>3.1960871250854561E-3</v>
      </c>
      <c r="AA77" s="116">
        <v>2.5064988173618206E-2</v>
      </c>
    </row>
    <row r="78" spans="1:27">
      <c r="A78" s="112" t="s">
        <v>116</v>
      </c>
      <c r="B78" s="113">
        <v>3</v>
      </c>
      <c r="C78" s="114">
        <v>-4.2133333333333335E-2</v>
      </c>
      <c r="D78" s="114">
        <v>-4.9664958348436608E-3</v>
      </c>
      <c r="E78" s="114">
        <v>1.0380134134452082E-4</v>
      </c>
      <c r="F78" s="114">
        <v>0.15903459134450276</v>
      </c>
      <c r="G78" s="115">
        <v>0.54799639856468163</v>
      </c>
      <c r="H78" s="115">
        <v>1.0939555482653982</v>
      </c>
      <c r="I78" s="114">
        <v>6.0934701878126787E-2</v>
      </c>
      <c r="J78" s="114">
        <v>0.43827239010407376</v>
      </c>
      <c r="K78" s="114">
        <v>2.9980000000000003E-2</v>
      </c>
      <c r="L78" s="114">
        <v>0.63623408248017566</v>
      </c>
      <c r="M78" s="114">
        <v>3.6090205126205394E-2</v>
      </c>
      <c r="N78" s="115">
        <v>1.0683496657652694</v>
      </c>
      <c r="O78" s="115">
        <v>0.74063296455059391</v>
      </c>
      <c r="P78" s="115">
        <v>9.8411681981767494</v>
      </c>
      <c r="Q78" s="115" t="s">
        <v>160</v>
      </c>
      <c r="R78" s="115">
        <v>1.044917656279905</v>
      </c>
      <c r="S78" s="115">
        <v>24.892802164704982</v>
      </c>
      <c r="T78" s="114">
        <v>0.13627166748967001</v>
      </c>
      <c r="U78" s="114">
        <v>5.6250816582367448E-2</v>
      </c>
      <c r="V78" s="114">
        <v>-5.3268306017885516E-3</v>
      </c>
      <c r="W78" s="114" t="s">
        <v>160</v>
      </c>
      <c r="X78" s="114">
        <v>-0.25686361110008338</v>
      </c>
      <c r="Y78" s="114">
        <v>6.7584881486226777E-4</v>
      </c>
      <c r="Z78" s="114">
        <v>6.7584881486226767E-4</v>
      </c>
      <c r="AA78" s="116">
        <v>8.4711470916790002E-5</v>
      </c>
    </row>
    <row r="79" spans="1:27">
      <c r="A79" s="112" t="s">
        <v>117</v>
      </c>
      <c r="B79" s="113">
        <v>70</v>
      </c>
      <c r="C79" s="114">
        <v>3.7705208333333323E-2</v>
      </c>
      <c r="D79" s="114">
        <v>0.24090189851762001</v>
      </c>
      <c r="E79" s="114">
        <v>0.17390673660088912</v>
      </c>
      <c r="F79" s="114">
        <v>0.10767179368946722</v>
      </c>
      <c r="G79" s="115">
        <v>0.96170327051580207</v>
      </c>
      <c r="H79" s="115">
        <v>1.0019932071355018</v>
      </c>
      <c r="I79" s="114">
        <v>5.6594079376795683E-2</v>
      </c>
      <c r="J79" s="114">
        <v>0.37255273863798521</v>
      </c>
      <c r="K79" s="114">
        <v>2.58E-2</v>
      </c>
      <c r="L79" s="114">
        <v>8.8512290348895808E-2</v>
      </c>
      <c r="M79" s="114">
        <v>5.3251848267399392E-2</v>
      </c>
      <c r="N79" s="115">
        <v>0.7480023912643442</v>
      </c>
      <c r="O79" s="115">
        <v>7.1590845870761628</v>
      </c>
      <c r="P79" s="115">
        <v>18.043377965076608</v>
      </c>
      <c r="Q79" s="115">
        <v>29.301109086416297</v>
      </c>
      <c r="R79" s="115">
        <v>6.8747247903342048</v>
      </c>
      <c r="S79" s="115">
        <v>726.52219693530583</v>
      </c>
      <c r="T79" s="114">
        <v>0.17435415119284708</v>
      </c>
      <c r="U79" s="114">
        <v>0.12761336836612591</v>
      </c>
      <c r="V79" s="114">
        <v>0.1606080271258418</v>
      </c>
      <c r="W79" s="114">
        <v>0.79832818403484462</v>
      </c>
      <c r="X79" s="114">
        <v>0.22132843436176297</v>
      </c>
      <c r="Y79" s="114">
        <v>0.42101889794196617</v>
      </c>
      <c r="Z79" s="114">
        <v>0.42101889794196623</v>
      </c>
      <c r="AA79" s="116">
        <v>0.24792674895127001</v>
      </c>
    </row>
    <row r="80" spans="1:27">
      <c r="A80" s="112" t="s">
        <v>118</v>
      </c>
      <c r="B80" s="113">
        <v>40</v>
      </c>
      <c r="C80" s="114">
        <v>8.4924999999999973E-2</v>
      </c>
      <c r="D80" s="114">
        <v>0.22214383974230267</v>
      </c>
      <c r="E80" s="114">
        <v>0.27892537443467325</v>
      </c>
      <c r="F80" s="114">
        <v>0.1283245337282424</v>
      </c>
      <c r="G80" s="115">
        <v>1.0688501095696221</v>
      </c>
      <c r="H80" s="115">
        <v>1.0703806513615421</v>
      </c>
      <c r="I80" s="114">
        <v>5.9821966744264793E-2</v>
      </c>
      <c r="J80" s="114">
        <v>0.35905521681427532</v>
      </c>
      <c r="K80" s="114">
        <v>2.58E-2</v>
      </c>
      <c r="L80" s="114">
        <v>7.4357671918065346E-2</v>
      </c>
      <c r="M80" s="114">
        <v>5.6774196960506181E-2</v>
      </c>
      <c r="N80" s="115">
        <v>1.2955167484418966</v>
      </c>
      <c r="O80" s="115">
        <v>5.1438517688976919</v>
      </c>
      <c r="P80" s="115">
        <v>18.692654437299094</v>
      </c>
      <c r="Q80" s="115">
        <v>22.856391580514028</v>
      </c>
      <c r="R80" s="115">
        <v>7.8717905246460385</v>
      </c>
      <c r="S80" s="115">
        <v>55.871007175483264</v>
      </c>
      <c r="T80" s="114">
        <v>0.27818447663763024</v>
      </c>
      <c r="U80" s="114">
        <v>3.7117231234130667E-2</v>
      </c>
      <c r="V80" s="114">
        <v>1.1627942992143444E-2</v>
      </c>
      <c r="W80" s="114">
        <v>0.2859438641860631</v>
      </c>
      <c r="X80" s="114">
        <v>0.32234700585446124</v>
      </c>
      <c r="Y80" s="114">
        <v>0.23308749981213911</v>
      </c>
      <c r="Z80" s="114">
        <v>0.23308749981213905</v>
      </c>
      <c r="AA80" s="116">
        <v>0.231831627226387</v>
      </c>
    </row>
    <row r="81" spans="1:27">
      <c r="A81" s="112" t="s">
        <v>119</v>
      </c>
      <c r="B81" s="113">
        <v>11</v>
      </c>
      <c r="C81" s="114">
        <v>3.1014285714285713E-2</v>
      </c>
      <c r="D81" s="114">
        <v>5.1113434544620161E-2</v>
      </c>
      <c r="E81" s="114">
        <v>3.7414109312367563E-2</v>
      </c>
      <c r="F81" s="114">
        <v>0.2439167399589563</v>
      </c>
      <c r="G81" s="115">
        <v>0.74411575199704472</v>
      </c>
      <c r="H81" s="115">
        <v>1.035148855900927</v>
      </c>
      <c r="I81" s="114">
        <v>5.8159025998523753E-2</v>
      </c>
      <c r="J81" s="114">
        <v>0.29830196285017457</v>
      </c>
      <c r="K81" s="114">
        <v>2.58E-2</v>
      </c>
      <c r="L81" s="114">
        <v>0.38330558536377457</v>
      </c>
      <c r="M81" s="114">
        <v>4.308552388871395E-2</v>
      </c>
      <c r="N81" s="115">
        <v>0.67617894074980467</v>
      </c>
      <c r="O81" s="115">
        <v>1.7395230517207627</v>
      </c>
      <c r="P81" s="115">
        <v>10.668320496769473</v>
      </c>
      <c r="Q81" s="115">
        <v>30.643960861814708</v>
      </c>
      <c r="R81" s="115">
        <v>1.1313888455192476</v>
      </c>
      <c r="S81" s="115">
        <v>49.987186364820744</v>
      </c>
      <c r="T81" s="114">
        <v>8.5723657546927276E-2</v>
      </c>
      <c r="U81" s="114">
        <v>9.7284894475642564E-2</v>
      </c>
      <c r="V81" s="114">
        <v>7.1007492284571178E-2</v>
      </c>
      <c r="W81" s="114">
        <v>1.2447679087535939</v>
      </c>
      <c r="X81" s="114">
        <v>-5.6970519840972178E-2</v>
      </c>
      <c r="Y81" s="114">
        <v>1.5678310316815599E-3</v>
      </c>
      <c r="Z81" s="114">
        <v>1.5678310316815658E-3</v>
      </c>
      <c r="AA81" s="116">
        <v>5.6632046024762447E-2</v>
      </c>
    </row>
    <row r="82" spans="1:27">
      <c r="A82" s="112" t="s">
        <v>120</v>
      </c>
      <c r="B82" s="113">
        <v>11</v>
      </c>
      <c r="C82" s="114">
        <v>-1.1125000000000006E-3</v>
      </c>
      <c r="D82" s="114">
        <v>9.2155065647776271E-2</v>
      </c>
      <c r="E82" s="114">
        <v>0.20895913003172306</v>
      </c>
      <c r="F82" s="114">
        <v>0.13438008307011218</v>
      </c>
      <c r="G82" s="115">
        <v>0.978275005705732</v>
      </c>
      <c r="H82" s="115">
        <v>0.98320921840400222</v>
      </c>
      <c r="I82" s="114">
        <v>5.57074751086689E-2</v>
      </c>
      <c r="J82" s="114">
        <v>0.31504947071599709</v>
      </c>
      <c r="K82" s="114">
        <v>2.58E-2</v>
      </c>
      <c r="L82" s="114">
        <v>6.4293070805614666E-2</v>
      </c>
      <c r="M82" s="114">
        <v>5.3336766162658179E-2</v>
      </c>
      <c r="N82" s="115">
        <v>2.5047178788505673</v>
      </c>
      <c r="O82" s="115">
        <v>5.0458322546184595</v>
      </c>
      <c r="P82" s="115">
        <v>35.832925338054658</v>
      </c>
      <c r="Q82" s="115">
        <v>56.487971693198233</v>
      </c>
      <c r="R82" s="115">
        <v>14.870008712382473</v>
      </c>
      <c r="S82" s="115">
        <v>46.18128726931203</v>
      </c>
      <c r="T82" s="114">
        <v>0.20382738278043069</v>
      </c>
      <c r="U82" s="114">
        <v>7.6179120775448673E-3</v>
      </c>
      <c r="V82" s="114">
        <v>-2.1254624249029949E-2</v>
      </c>
      <c r="W82" s="114">
        <v>-0.30661254345367106</v>
      </c>
      <c r="X82" s="114">
        <v>0.23700994672881648</v>
      </c>
      <c r="Y82" s="114">
        <v>0.48274925554409281</v>
      </c>
      <c r="Z82" s="114">
        <v>0.48274925554409287</v>
      </c>
      <c r="AA82" s="116">
        <v>8.9345350822231981E-2</v>
      </c>
    </row>
    <row r="83" spans="1:27">
      <c r="A83" s="112" t="s">
        <v>231</v>
      </c>
      <c r="B83" s="113">
        <v>101</v>
      </c>
      <c r="C83" s="114">
        <v>-4.1290476190476121E-3</v>
      </c>
      <c r="D83" s="114">
        <v>0.20610436169824337</v>
      </c>
      <c r="E83" s="114">
        <v>0.14733514240062395</v>
      </c>
      <c r="F83" s="114">
        <v>0.12015444977232942</v>
      </c>
      <c r="G83" s="115">
        <v>0.95954502502391559</v>
      </c>
      <c r="H83" s="115">
        <v>0.95869522130184004</v>
      </c>
      <c r="I83" s="114">
        <v>5.4550414445446851E-2</v>
      </c>
      <c r="J83" s="114">
        <v>0.62614076427444454</v>
      </c>
      <c r="K83" s="114">
        <v>2.9980000000000003E-2</v>
      </c>
      <c r="L83" s="114">
        <v>2.5492110851799844E-2</v>
      </c>
      <c r="M83" s="114">
        <v>5.3717714276227881E-2</v>
      </c>
      <c r="N83" s="115">
        <v>0.67962241763856612</v>
      </c>
      <c r="O83" s="115">
        <v>8.1627602634263159</v>
      </c>
      <c r="P83" s="115">
        <v>25.090060525473032</v>
      </c>
      <c r="Q83" s="115">
        <v>38.042802515274332</v>
      </c>
      <c r="R83" s="115">
        <v>6.2332605322486296</v>
      </c>
      <c r="S83" s="115">
        <v>157.38488806622505</v>
      </c>
      <c r="T83" s="114">
        <v>5.4058217694795588E-2</v>
      </c>
      <c r="U83" s="114">
        <v>0.14038188523708567</v>
      </c>
      <c r="V83" s="114">
        <v>9.9365057264658149E-2</v>
      </c>
      <c r="W83" s="114">
        <v>0.67796023252177173</v>
      </c>
      <c r="X83" s="114">
        <v>0.17714237086811832</v>
      </c>
      <c r="Y83" s="114">
        <v>2.6307825084575299E-3</v>
      </c>
      <c r="Z83" s="114">
        <v>2.6307825084574965E-3</v>
      </c>
      <c r="AA83" s="116">
        <v>0.21793855131962409</v>
      </c>
    </row>
    <row r="84" spans="1:27">
      <c r="A84" s="112" t="s">
        <v>232</v>
      </c>
      <c r="B84" s="113">
        <v>36</v>
      </c>
      <c r="C84" s="114">
        <v>0.19335999999999998</v>
      </c>
      <c r="D84" s="114">
        <v>5.0594389689158463E-2</v>
      </c>
      <c r="E84" s="114">
        <v>6.6577543017666024E-2</v>
      </c>
      <c r="F84" s="114">
        <v>5.9713980813176741E-2</v>
      </c>
      <c r="G84" s="115">
        <v>0.74898294638115781</v>
      </c>
      <c r="H84" s="115">
        <v>0.77312978172487734</v>
      </c>
      <c r="I84" s="114">
        <v>4.5791725697414215E-2</v>
      </c>
      <c r="J84" s="114">
        <v>0.32725130712188061</v>
      </c>
      <c r="K84" s="114">
        <v>2.58E-2</v>
      </c>
      <c r="L84" s="114">
        <v>8.1145704834729326E-2</v>
      </c>
      <c r="M84" s="114">
        <v>4.3604222044956245E-2</v>
      </c>
      <c r="N84" s="115">
        <v>1.0056969705736849</v>
      </c>
      <c r="O84" s="115">
        <v>15.670513651651863</v>
      </c>
      <c r="P84" s="115">
        <v>19.20812597236386</v>
      </c>
      <c r="Q84" s="115">
        <v>95.438933520365097</v>
      </c>
      <c r="R84" s="115">
        <v>15.18744917520298</v>
      </c>
      <c r="S84" s="115">
        <v>67.888620201828758</v>
      </c>
      <c r="T84" s="114">
        <v>0.10575986297138683</v>
      </c>
      <c r="U84" s="114">
        <v>7.8989863252183184E-2</v>
      </c>
      <c r="V84" s="114">
        <v>6.9501945918625185E-2</v>
      </c>
      <c r="W84" s="114">
        <v>2.1723853476849091</v>
      </c>
      <c r="X84" s="114">
        <v>-0.11228566914958794</v>
      </c>
      <c r="Y84" s="114">
        <v>1.7811704834605599E-3</v>
      </c>
      <c r="Z84" s="114">
        <v>1.7811704834606035E-3</v>
      </c>
      <c r="AA84" s="116">
        <v>6.7784277223050943E-2</v>
      </c>
    </row>
    <row r="85" spans="1:27">
      <c r="A85" s="112" t="s">
        <v>233</v>
      </c>
      <c r="B85" s="113">
        <v>388</v>
      </c>
      <c r="C85" s="114">
        <v>0.18927503401360543</v>
      </c>
      <c r="D85" s="114">
        <v>0.23304335184880492</v>
      </c>
      <c r="E85" s="114">
        <v>0.22277139598413231</v>
      </c>
      <c r="F85" s="114">
        <v>0.14135251695865048</v>
      </c>
      <c r="G85" s="115">
        <v>0.89400941477803386</v>
      </c>
      <c r="H85" s="115">
        <v>0.91168721295005339</v>
      </c>
      <c r="I85" s="114">
        <v>5.2331636451242516E-2</v>
      </c>
      <c r="J85" s="114">
        <v>0.47970590019284548</v>
      </c>
      <c r="K85" s="114">
        <v>2.9980000000000003E-2</v>
      </c>
      <c r="L85" s="114">
        <v>6.1498960853356731E-2</v>
      </c>
      <c r="M85" s="114">
        <v>5.0459224547595508E-2</v>
      </c>
      <c r="N85" s="115">
        <v>0.91830981240800669</v>
      </c>
      <c r="O85" s="115">
        <v>11.823495715635733</v>
      </c>
      <c r="P85" s="115">
        <v>30.423805681689416</v>
      </c>
      <c r="Q85" s="115">
        <v>43.934979084480268</v>
      </c>
      <c r="R85" s="115">
        <v>14.073826222631265</v>
      </c>
      <c r="S85" s="115">
        <v>148.99150403292035</v>
      </c>
      <c r="T85" s="114">
        <v>0.13148461542558323</v>
      </c>
      <c r="U85" s="114">
        <v>6.8036838833674437E-2</v>
      </c>
      <c r="V85" s="114">
        <v>5.5987028224454942E-2</v>
      </c>
      <c r="W85" s="114">
        <v>0.33689033745131231</v>
      </c>
      <c r="X85" s="114">
        <v>0.28087977508472173</v>
      </c>
      <c r="Y85" s="114">
        <v>0.29353987792074177</v>
      </c>
      <c r="Z85" s="114">
        <v>0.29353987792074177</v>
      </c>
      <c r="AA85" s="116">
        <v>0.24903781079295109</v>
      </c>
    </row>
    <row r="86" spans="1:27">
      <c r="A86" s="112" t="s">
        <v>121</v>
      </c>
      <c r="B86" s="113">
        <v>32</v>
      </c>
      <c r="C86" s="114">
        <v>4.7231818181818182E-3</v>
      </c>
      <c r="D86" s="114">
        <v>3.553259633998463E-2</v>
      </c>
      <c r="E86" s="114">
        <v>5.8100247248397074E-2</v>
      </c>
      <c r="F86" s="114">
        <v>0.24528834477698491</v>
      </c>
      <c r="G86" s="115">
        <v>0.78484085286834249</v>
      </c>
      <c r="H86" s="115">
        <v>0.95267432662315499</v>
      </c>
      <c r="I86" s="114">
        <v>5.4266228216612908E-2</v>
      </c>
      <c r="J86" s="114">
        <v>0.39319155229808395</v>
      </c>
      <c r="K86" s="114">
        <v>2.58E-2</v>
      </c>
      <c r="L86" s="114">
        <v>0.33440204084678338</v>
      </c>
      <c r="M86" s="114">
        <v>4.2417618789228569E-2</v>
      </c>
      <c r="N86" s="115">
        <v>1.7027174008564028</v>
      </c>
      <c r="O86" s="115">
        <v>0.93481481073420414</v>
      </c>
      <c r="P86" s="115">
        <v>9.7390031891988702</v>
      </c>
      <c r="Q86" s="115">
        <v>23.061200217062375</v>
      </c>
      <c r="R86" s="115">
        <v>1.5528479464148082</v>
      </c>
      <c r="S86" s="115">
        <v>35.726079443105931</v>
      </c>
      <c r="T86" s="114">
        <v>0.21691105123338691</v>
      </c>
      <c r="U86" s="114">
        <v>6.9582397129241025E-2</v>
      </c>
      <c r="V86" s="114">
        <v>5.5734411806729507E-2</v>
      </c>
      <c r="W86" s="114">
        <v>0.2849257135685403</v>
      </c>
      <c r="X86" s="114">
        <v>-2.8409504493084305E-2</v>
      </c>
      <c r="Y86" s="114">
        <v>6.4673007856719126E-3</v>
      </c>
      <c r="Z86" s="114">
        <v>6.4673007856719256E-3</v>
      </c>
      <c r="AA86" s="116">
        <v>3.6302027971648762E-2</v>
      </c>
    </row>
    <row r="87" spans="1:27">
      <c r="A87" s="112" t="s">
        <v>122</v>
      </c>
      <c r="B87" s="113">
        <v>16</v>
      </c>
      <c r="C87" s="114">
        <v>6.5274285714285715E-2</v>
      </c>
      <c r="D87" s="114">
        <v>0.12481677647749129</v>
      </c>
      <c r="E87" s="114">
        <v>0.10222796915324003</v>
      </c>
      <c r="F87" s="114">
        <v>0.22645519947678222</v>
      </c>
      <c r="G87" s="115">
        <v>0.39285404261553991</v>
      </c>
      <c r="H87" s="115">
        <v>0.53101428219938829</v>
      </c>
      <c r="I87" s="114">
        <v>3.4363874119811122E-2</v>
      </c>
      <c r="J87" s="114">
        <v>0.39778913844087938</v>
      </c>
      <c r="K87" s="114">
        <v>2.58E-2</v>
      </c>
      <c r="L87" s="114">
        <v>0.35304680875165795</v>
      </c>
      <c r="M87" s="114">
        <v>2.8881101621496843E-2</v>
      </c>
      <c r="N87" s="115">
        <v>0.83735143301257098</v>
      </c>
      <c r="O87" s="115">
        <v>3.6701715389319451</v>
      </c>
      <c r="P87" s="115">
        <v>10.141158263225391</v>
      </c>
      <c r="Q87" s="115">
        <v>29.546652439145003</v>
      </c>
      <c r="R87" s="115">
        <v>2.3555939669087431</v>
      </c>
      <c r="S87" s="115">
        <v>24.683121593527087</v>
      </c>
      <c r="T87" s="114">
        <v>0.10992374328413039</v>
      </c>
      <c r="U87" s="114">
        <v>0.15333720134670512</v>
      </c>
      <c r="V87" s="114">
        <v>3.5152271971679153E-2</v>
      </c>
      <c r="W87" s="114">
        <v>1.6819529435066813</v>
      </c>
      <c r="X87" s="114">
        <v>8.9103963545738712E-2</v>
      </c>
      <c r="Y87" s="114">
        <v>3.0359061705207489E-2</v>
      </c>
      <c r="Z87" s="114">
        <v>3.0359061705207524E-2</v>
      </c>
      <c r="AA87" s="116">
        <v>0.12651859108818381</v>
      </c>
    </row>
    <row r="88" spans="1:27">
      <c r="A88" s="112" t="s">
        <v>123</v>
      </c>
      <c r="B88" s="113">
        <v>96</v>
      </c>
      <c r="C88" s="114">
        <v>0.31647482758620687</v>
      </c>
      <c r="D88" s="114">
        <v>0.18687314795663049</v>
      </c>
      <c r="E88" s="114">
        <v>0.21798778520816608</v>
      </c>
      <c r="F88" s="114">
        <v>0.17902419010153528</v>
      </c>
      <c r="G88" s="115">
        <v>0.83218990324212128</v>
      </c>
      <c r="H88" s="115">
        <v>0.86937365219195228</v>
      </c>
      <c r="I88" s="114">
        <v>5.0334436383460149E-2</v>
      </c>
      <c r="J88" s="114">
        <v>0.43108480142025429</v>
      </c>
      <c r="K88" s="114">
        <v>2.9980000000000003E-2</v>
      </c>
      <c r="L88" s="114">
        <v>0.12890225671719946</v>
      </c>
      <c r="M88" s="114">
        <v>4.6667291392202423E-2</v>
      </c>
      <c r="N88" s="115">
        <v>1.2025076456352379</v>
      </c>
      <c r="O88" s="115">
        <v>3.5641828955814892</v>
      </c>
      <c r="P88" s="115">
        <v>13.922166632416614</v>
      </c>
      <c r="Q88" s="115">
        <v>18.523992372505774</v>
      </c>
      <c r="R88" s="115">
        <v>4.8399815238650383</v>
      </c>
      <c r="S88" s="115">
        <v>50.678124744497509</v>
      </c>
      <c r="T88" s="114">
        <v>0.16836471254894772</v>
      </c>
      <c r="U88" s="114">
        <v>2.9482769947348272E-2</v>
      </c>
      <c r="V88" s="114">
        <v>3.3473393450261651E-2</v>
      </c>
      <c r="W88" s="114">
        <v>0.11714492463095033</v>
      </c>
      <c r="X88" s="114">
        <v>0.17100403472629144</v>
      </c>
      <c r="Y88" s="114">
        <v>0.64707059160567149</v>
      </c>
      <c r="Z88" s="114">
        <v>0.64707059160567149</v>
      </c>
      <c r="AA88" s="116">
        <v>0.18855833258388299</v>
      </c>
    </row>
    <row r="89" spans="1:27">
      <c r="A89" s="112" t="s">
        <v>124</v>
      </c>
      <c r="B89" s="113">
        <v>58</v>
      </c>
      <c r="C89" s="114">
        <v>7.7909583333333324E-2</v>
      </c>
      <c r="D89" s="114">
        <v>0.19456609726786683</v>
      </c>
      <c r="E89" s="114">
        <v>0.13777796302969947</v>
      </c>
      <c r="F89" s="114">
        <v>0.16707497661242765</v>
      </c>
      <c r="G89" s="115">
        <v>0.42180941298328112</v>
      </c>
      <c r="H89" s="115">
        <v>0.65904634489734548</v>
      </c>
      <c r="I89" s="114">
        <v>4.0406987479154707E-2</v>
      </c>
      <c r="J89" s="114">
        <v>0.43529745323644603</v>
      </c>
      <c r="K89" s="114">
        <v>2.9980000000000003E-2</v>
      </c>
      <c r="L89" s="114">
        <v>0.45396794839340282</v>
      </c>
      <c r="M89" s="114">
        <v>3.1998780410253905E-2</v>
      </c>
      <c r="N89" s="115">
        <v>0.75188855600527471</v>
      </c>
      <c r="O89" s="115">
        <v>2.5063851234126462</v>
      </c>
      <c r="P89" s="115">
        <v>6.7612311933973341</v>
      </c>
      <c r="Q89" s="115">
        <v>13.116222031782481</v>
      </c>
      <c r="R89" s="115">
        <v>1.7288217901555876</v>
      </c>
      <c r="S89" s="115">
        <v>22.272683229104771</v>
      </c>
      <c r="T89" s="114">
        <v>1.1846303461981971E-2</v>
      </c>
      <c r="U89" s="114">
        <v>0.1262725136691345</v>
      </c>
      <c r="V89" s="114">
        <v>-2.3647204248838035E-2</v>
      </c>
      <c r="W89" s="114">
        <v>-2.1878837569718146E-2</v>
      </c>
      <c r="X89" s="114">
        <v>0.11268328342687449</v>
      </c>
      <c r="Y89" s="114">
        <v>0.51919159384599822</v>
      </c>
      <c r="Z89" s="114">
        <v>0.51919159384599822</v>
      </c>
      <c r="AA89" s="116">
        <v>0.19073146201563007</v>
      </c>
    </row>
    <row r="90" spans="1:27">
      <c r="A90" s="112" t="s">
        <v>125</v>
      </c>
      <c r="B90" s="113">
        <v>15</v>
      </c>
      <c r="C90" s="114">
        <v>0.52823333333333333</v>
      </c>
      <c r="D90" s="114">
        <v>0.42799063533257781</v>
      </c>
      <c r="E90" s="114">
        <v>0.45326065003003474</v>
      </c>
      <c r="F90" s="114">
        <v>0.34666110446896781</v>
      </c>
      <c r="G90" s="115">
        <v>0.61270845517910077</v>
      </c>
      <c r="H90" s="115">
        <v>0.72184114581391701</v>
      </c>
      <c r="I90" s="114">
        <v>4.3370902082416882E-2</v>
      </c>
      <c r="J90" s="114">
        <v>0.24488233552075422</v>
      </c>
      <c r="K90" s="114">
        <v>1.9200000000000002E-2</v>
      </c>
      <c r="L90" s="114">
        <v>0.2326199241662911</v>
      </c>
      <c r="M90" s="114">
        <v>3.654236698609617E-2</v>
      </c>
      <c r="N90" s="115">
        <v>1.1567297628889579</v>
      </c>
      <c r="O90" s="115">
        <v>4.8154292104667444</v>
      </c>
      <c r="P90" s="115">
        <v>10.48285471378874</v>
      </c>
      <c r="Q90" s="115">
        <v>11.203681381675812</v>
      </c>
      <c r="R90" s="115" t="s">
        <v>160</v>
      </c>
      <c r="S90" s="115">
        <v>54.618361961531335</v>
      </c>
      <c r="T90" s="114">
        <v>0.13100960465577405</v>
      </c>
      <c r="U90" s="114">
        <v>1.754340460060597E-2</v>
      </c>
      <c r="V90" s="114">
        <v>1.238721827891767E-2</v>
      </c>
      <c r="W90" s="114">
        <v>6.8704867753216466E-3</v>
      </c>
      <c r="X90" s="114">
        <v>-2.3108086774560259E-3</v>
      </c>
      <c r="Y90" s="114">
        <v>1.6495295056583579</v>
      </c>
      <c r="Z90" s="114">
        <v>1.6495295056583579</v>
      </c>
      <c r="AA90" s="116">
        <v>0.42915560521201329</v>
      </c>
    </row>
    <row r="91" spans="1:27">
      <c r="A91" s="112" t="s">
        <v>126</v>
      </c>
      <c r="B91" s="113">
        <v>21</v>
      </c>
      <c r="C91" s="114">
        <v>9.4160769230769215E-2</v>
      </c>
      <c r="D91" s="114">
        <v>6.2767799611273531E-2</v>
      </c>
      <c r="E91" s="114">
        <v>0.13317123700747599</v>
      </c>
      <c r="F91" s="114">
        <v>0.22365897901010617</v>
      </c>
      <c r="G91" s="115">
        <v>0.78694784597666434</v>
      </c>
      <c r="H91" s="115">
        <v>0.90738538505699995</v>
      </c>
      <c r="I91" s="114">
        <v>5.212859017469039E-2</v>
      </c>
      <c r="J91" s="114">
        <v>0.2867619467746414</v>
      </c>
      <c r="K91" s="114">
        <v>2.58E-2</v>
      </c>
      <c r="L91" s="114">
        <v>0.24066478106211525</v>
      </c>
      <c r="M91" s="114">
        <v>4.4115754919745676E-2</v>
      </c>
      <c r="N91" s="115">
        <v>2.4515741849278605</v>
      </c>
      <c r="O91" s="115">
        <v>1.5567317897080666</v>
      </c>
      <c r="P91" s="115">
        <v>12.959492073346206</v>
      </c>
      <c r="Q91" s="115">
        <v>25.626980651208445</v>
      </c>
      <c r="R91" s="115">
        <v>6.7749292258814835</v>
      </c>
      <c r="S91" s="115">
        <v>48.605928871645851</v>
      </c>
      <c r="T91" s="114">
        <v>7.9693136743779314E-2</v>
      </c>
      <c r="U91" s="114">
        <v>5.8812779442184736E-2</v>
      </c>
      <c r="V91" s="114">
        <v>2.2628756627930156E-2</v>
      </c>
      <c r="W91" s="114">
        <v>0.68340972792286159</v>
      </c>
      <c r="X91" s="114">
        <v>0.22767914053607058</v>
      </c>
      <c r="Y91" s="114">
        <v>0.55442348356375992</v>
      </c>
      <c r="Z91" s="114">
        <v>0.55442348356375992</v>
      </c>
      <c r="AA91" s="116">
        <v>6.0731915901516997E-2</v>
      </c>
    </row>
    <row r="92" spans="1:27">
      <c r="A92" s="112" t="s">
        <v>234</v>
      </c>
      <c r="B92" s="113">
        <v>6</v>
      </c>
      <c r="C92" s="114">
        <v>-1.47E-2</v>
      </c>
      <c r="D92" s="114">
        <v>0.39125023060737901</v>
      </c>
      <c r="E92" s="114">
        <v>0.12967763596876056</v>
      </c>
      <c r="F92" s="114">
        <v>0.23115977314390468</v>
      </c>
      <c r="G92" s="115">
        <v>0.74113395736276111</v>
      </c>
      <c r="H92" s="115">
        <v>0.84480849667842206</v>
      </c>
      <c r="I92" s="114">
        <v>4.9174961043221513E-2</v>
      </c>
      <c r="J92" s="114">
        <v>0.16833997765542183</v>
      </c>
      <c r="K92" s="114">
        <v>1.9200000000000002E-2</v>
      </c>
      <c r="L92" s="114">
        <v>0.1839447211506495</v>
      </c>
      <c r="M92" s="114">
        <v>4.2707655758179579E-2</v>
      </c>
      <c r="N92" s="115">
        <v>0.39701712586492816</v>
      </c>
      <c r="O92" s="115">
        <v>8.0999444290363432</v>
      </c>
      <c r="P92" s="115">
        <v>15.458052399785434</v>
      </c>
      <c r="Q92" s="115">
        <v>20.934853811173205</v>
      </c>
      <c r="R92" s="115">
        <v>5.8229959384546</v>
      </c>
      <c r="S92" s="115">
        <v>28.550848056184293</v>
      </c>
      <c r="T92" s="114">
        <v>1.6536008612455824E-2</v>
      </c>
      <c r="U92" s="114">
        <v>0.16356660291394318</v>
      </c>
      <c r="V92" s="114">
        <v>4.4470443723626116E-2</v>
      </c>
      <c r="W92" s="114">
        <v>0.12829844070642524</v>
      </c>
      <c r="X92" s="114">
        <v>0.21474626352104251</v>
      </c>
      <c r="Y92" s="114">
        <v>0.41027528063719787</v>
      </c>
      <c r="Z92" s="114">
        <v>0.41027528063719787</v>
      </c>
      <c r="AA92" s="116">
        <v>0.38690910749986346</v>
      </c>
    </row>
    <row r="93" spans="1:27">
      <c r="A93" s="112" t="s">
        <v>127</v>
      </c>
      <c r="B93" s="113">
        <v>35</v>
      </c>
      <c r="C93" s="114">
        <v>3.0642105263157887E-2</v>
      </c>
      <c r="D93" s="114">
        <v>-2.882246905058946E-2</v>
      </c>
      <c r="E93" s="114">
        <v>-4.035655435213481E-2</v>
      </c>
      <c r="F93" s="114">
        <v>0.21675277856229133</v>
      </c>
      <c r="G93" s="115">
        <v>0.94599113446244631</v>
      </c>
      <c r="H93" s="115">
        <v>1.1117887824981547</v>
      </c>
      <c r="I93" s="114">
        <v>6.1776430533912907E-2</v>
      </c>
      <c r="J93" s="114">
        <v>0.38783760729396827</v>
      </c>
      <c r="K93" s="114">
        <v>2.58E-2</v>
      </c>
      <c r="L93" s="114">
        <v>0.25237767229324226</v>
      </c>
      <c r="M93" s="114">
        <v>5.0938719873149713E-2</v>
      </c>
      <c r="N93" s="115">
        <v>0.83636127644751057</v>
      </c>
      <c r="O93" s="115">
        <v>2.7292351713007115</v>
      </c>
      <c r="P93" s="115">
        <v>10.064082127941029</v>
      </c>
      <c r="Q93" s="115" t="s">
        <v>160</v>
      </c>
      <c r="R93" s="115">
        <v>4.8117257666698885</v>
      </c>
      <c r="S93" s="115">
        <v>46.738341622015596</v>
      </c>
      <c r="T93" s="114">
        <v>6.0723800041339683E-2</v>
      </c>
      <c r="U93" s="114">
        <v>-8.0125776964927731E-3</v>
      </c>
      <c r="V93" s="114">
        <v>-8.6707710315732031E-2</v>
      </c>
      <c r="W93" s="114" t="s">
        <v>160</v>
      </c>
      <c r="X93" s="114">
        <v>-0.17695648613703024</v>
      </c>
      <c r="Y93" s="114">
        <v>2.7100744882994714E-3</v>
      </c>
      <c r="Z93" s="114">
        <v>2.7100744882995187E-3</v>
      </c>
      <c r="AA93" s="116">
        <v>-5.0732136649724723E-2</v>
      </c>
    </row>
    <row r="94" spans="1:27">
      <c r="A94" s="112" t="s">
        <v>128</v>
      </c>
      <c r="B94" s="113">
        <v>16</v>
      </c>
      <c r="C94" s="114">
        <v>2.2684999999999997E-2</v>
      </c>
      <c r="D94" s="114">
        <v>0.20403341154138444</v>
      </c>
      <c r="E94" s="114">
        <v>6.7850905338863968E-2</v>
      </c>
      <c r="F94" s="114">
        <v>0.117171773264289</v>
      </c>
      <c r="G94" s="115">
        <v>0.48558485606254603</v>
      </c>
      <c r="H94" s="115">
        <v>0.73977845895185768</v>
      </c>
      <c r="I94" s="114">
        <v>4.4217543262527678E-2</v>
      </c>
      <c r="J94" s="114">
        <v>0.18444652874211906</v>
      </c>
      <c r="K94" s="114">
        <v>1.9200000000000002E-2</v>
      </c>
      <c r="L94" s="114">
        <v>0.42756747620067043</v>
      </c>
      <c r="M94" s="114">
        <v>3.1304345632403356E-2</v>
      </c>
      <c r="N94" s="115">
        <v>0.37307034467264188</v>
      </c>
      <c r="O94" s="115">
        <v>4.136621754888119</v>
      </c>
      <c r="P94" s="115">
        <v>12.15184429138481</v>
      </c>
      <c r="Q94" s="115">
        <v>20.529474325741415</v>
      </c>
      <c r="R94" s="115">
        <v>1.8404346419169308</v>
      </c>
      <c r="S94" s="115">
        <v>18.730852059509221</v>
      </c>
      <c r="T94" s="114">
        <v>9.0134502361175151E-2</v>
      </c>
      <c r="U94" s="114">
        <v>0.3114652228597598</v>
      </c>
      <c r="V94" s="114">
        <v>0.19896841700046131</v>
      </c>
      <c r="W94" s="114">
        <v>1.1039575205276062</v>
      </c>
      <c r="X94" s="114">
        <v>7.4857124266643538E-2</v>
      </c>
      <c r="Y94" s="114">
        <v>1.0089818624326357</v>
      </c>
      <c r="Z94" s="114">
        <v>1.0089818624326357</v>
      </c>
      <c r="AA94" s="116">
        <v>0.20149672072710154</v>
      </c>
    </row>
    <row r="95" spans="1:27">
      <c r="A95" s="112" t="s">
        <v>129</v>
      </c>
      <c r="B95" s="113">
        <v>17</v>
      </c>
      <c r="C95" s="114">
        <v>0.12739090909090908</v>
      </c>
      <c r="D95" s="114">
        <v>0.30462864365814413</v>
      </c>
      <c r="E95" s="114">
        <v>8.0501688649732311E-2</v>
      </c>
      <c r="F95" s="114">
        <v>0.18748481661181424</v>
      </c>
      <c r="G95" s="115">
        <v>0.57290214155323738</v>
      </c>
      <c r="H95" s="115">
        <v>0.73396774788813257</v>
      </c>
      <c r="I95" s="114">
        <v>4.394327770031986E-2</v>
      </c>
      <c r="J95" s="114">
        <v>0.35960926569887885</v>
      </c>
      <c r="K95" s="114">
        <v>2.58E-2</v>
      </c>
      <c r="L95" s="114">
        <v>0.288051163370102</v>
      </c>
      <c r="M95" s="114">
        <v>3.6710521047359772E-2</v>
      </c>
      <c r="N95" s="115">
        <v>0.29873574208480336</v>
      </c>
      <c r="O95" s="115">
        <v>9.786175412560377</v>
      </c>
      <c r="P95" s="115">
        <v>20.924855016692508</v>
      </c>
      <c r="Q95" s="115">
        <v>32.162808766564744</v>
      </c>
      <c r="R95" s="115">
        <v>3.5073850269273019</v>
      </c>
      <c r="S95" s="115">
        <v>62.39214919438848</v>
      </c>
      <c r="T95" s="114">
        <v>0.16949223860701113</v>
      </c>
      <c r="U95" s="114">
        <v>0.47276822081538949</v>
      </c>
      <c r="V95" s="114">
        <v>0.96620245487575274</v>
      </c>
      <c r="W95" s="114">
        <v>3.9453757403353218</v>
      </c>
      <c r="X95" s="114">
        <v>8.2465676679155456E-2</v>
      </c>
      <c r="Y95" s="114">
        <v>0.66366433039636541</v>
      </c>
      <c r="Z95" s="114">
        <v>0.71305567485106125</v>
      </c>
      <c r="AA95" s="116">
        <v>0.30208913657980541</v>
      </c>
    </row>
    <row r="96" spans="1:27">
      <c r="A96" s="112" t="s">
        <v>130</v>
      </c>
      <c r="B96" s="113">
        <v>7582</v>
      </c>
      <c r="C96" s="114">
        <v>8.8604448169880126E-2</v>
      </c>
      <c r="D96" s="114">
        <v>9.6201704840140859E-2</v>
      </c>
      <c r="E96" s="114">
        <v>6.0506096685354741E-2</v>
      </c>
      <c r="F96" s="114">
        <v>0.17760057899121492</v>
      </c>
      <c r="G96" s="115">
        <v>0.7481510729858899</v>
      </c>
      <c r="H96" s="115">
        <v>0.94153312389198818</v>
      </c>
      <c r="I96" s="114">
        <v>5.3740363447701833E-2</v>
      </c>
      <c r="J96" s="114">
        <v>0.41205395925277921</v>
      </c>
      <c r="K96" s="114">
        <v>2.9980000000000003E-2</v>
      </c>
      <c r="L96" s="114">
        <v>0.32580752942081304</v>
      </c>
      <c r="M96" s="114">
        <v>4.3361776507015795E-2</v>
      </c>
      <c r="N96" s="115">
        <v>0.66747011986066229</v>
      </c>
      <c r="O96" s="115">
        <v>3.6462526886648874</v>
      </c>
      <c r="P96" s="115">
        <v>20.01732271472191</v>
      </c>
      <c r="Q96" s="115">
        <v>36.460964745465837</v>
      </c>
      <c r="R96" s="115">
        <v>3.8138539866725387</v>
      </c>
      <c r="S96" s="115">
        <v>103.24608265487092</v>
      </c>
      <c r="T96" s="114">
        <v>-0.36101539217904444</v>
      </c>
      <c r="U96" s="114">
        <v>5.5967085959717458E-2</v>
      </c>
      <c r="V96" s="114">
        <v>2.5664988528031712E-2</v>
      </c>
      <c r="W96" s="114">
        <v>0.33159793650369079</v>
      </c>
      <c r="X96" s="114">
        <v>8.2465676679155456E-2</v>
      </c>
      <c r="Y96" s="114">
        <v>0.71305567485106125</v>
      </c>
      <c r="Z96" s="114">
        <v>0.71305567485106125</v>
      </c>
      <c r="AA96" s="116">
        <v>9.6070367597672277E-2</v>
      </c>
    </row>
    <row r="97" spans="1:27">
      <c r="A97" s="112" t="s">
        <v>235</v>
      </c>
      <c r="B97" s="113">
        <v>6253</v>
      </c>
      <c r="C97" s="114">
        <v>9.4041204341900345E-2</v>
      </c>
      <c r="D97" s="114">
        <v>9.930087339393491E-2</v>
      </c>
      <c r="E97" s="114">
        <v>0.10584436361002644</v>
      </c>
      <c r="F97" s="114">
        <v>0.17743360975099459</v>
      </c>
      <c r="G97" s="115">
        <v>0.86177662223276508</v>
      </c>
      <c r="H97" s="115">
        <v>0.97830600909684762</v>
      </c>
      <c r="I97" s="114">
        <v>5.5476043629371211E-2</v>
      </c>
      <c r="J97" s="114">
        <v>0.44772960581474536</v>
      </c>
      <c r="K97" s="114">
        <v>2.9980000000000003E-2</v>
      </c>
      <c r="L97" s="114">
        <v>0.20066342541531326</v>
      </c>
      <c r="M97" s="114">
        <v>4.8735630016796518E-2</v>
      </c>
      <c r="N97" s="115">
        <v>1.1137481600322767</v>
      </c>
      <c r="O97" s="115">
        <v>3.196959116613741</v>
      </c>
      <c r="P97" s="115">
        <v>16.520979574563068</v>
      </c>
      <c r="Q97" s="115">
        <v>30.624257438474952</v>
      </c>
      <c r="R97" s="115">
        <v>4.7501075427779016</v>
      </c>
      <c r="S97" s="115">
        <v>87.077262365850473</v>
      </c>
      <c r="T97" s="114">
        <v>8.2811192862192448E-2</v>
      </c>
      <c r="U97" s="114">
        <v>5.9114865494029625E-2</v>
      </c>
      <c r="V97" s="114">
        <v>2.5390218706648097E-2</v>
      </c>
      <c r="W97" s="114">
        <v>0.29398897453501566</v>
      </c>
      <c r="X97" s="114">
        <v>7.7750912790873816E-2</v>
      </c>
      <c r="Y97" s="114">
        <v>0.83967509040994981</v>
      </c>
      <c r="Z97" s="114">
        <v>0.83967509040994981</v>
      </c>
      <c r="AA97" s="116">
        <v>9.9297521169157646E-2</v>
      </c>
    </row>
  </sheetData>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7"/>
  <sheetViews>
    <sheetView workbookViewId="0">
      <selection activeCell="E22" sqref="E22"/>
    </sheetView>
  </sheetViews>
  <sheetFormatPr defaultColWidth="11.19921875" defaultRowHeight="15.6"/>
  <cols>
    <col min="1" max="1" width="20.296875" bestFit="1" customWidth="1"/>
    <col min="2" max="2" width="11.5" bestFit="1" customWidth="1"/>
    <col min="3" max="3" width="9.5" bestFit="1" customWidth="1"/>
    <col min="4" max="4" width="11.796875" bestFit="1" customWidth="1"/>
    <col min="5" max="5" width="12.5" customWidth="1"/>
    <col min="6" max="6" width="10.5" bestFit="1" customWidth="1"/>
    <col min="7" max="7" width="11.5" bestFit="1" customWidth="1"/>
    <col min="8" max="8" width="22.5" bestFit="1" customWidth="1"/>
  </cols>
  <sheetData>
    <row r="1" spans="1:27" ht="58.2">
      <c r="A1" s="108" t="s">
        <v>196</v>
      </c>
      <c r="B1" s="109" t="s">
        <v>51</v>
      </c>
      <c r="C1" s="110" t="s">
        <v>52</v>
      </c>
      <c r="D1" s="110" t="s">
        <v>197</v>
      </c>
      <c r="E1" s="110" t="s">
        <v>198</v>
      </c>
      <c r="F1" s="109" t="s">
        <v>53</v>
      </c>
      <c r="G1" s="109" t="s">
        <v>199</v>
      </c>
      <c r="H1" s="109" t="s">
        <v>200</v>
      </c>
      <c r="I1" s="109" t="s">
        <v>201</v>
      </c>
      <c r="J1" s="109" t="s">
        <v>202</v>
      </c>
      <c r="K1" s="109" t="s">
        <v>203</v>
      </c>
      <c r="L1" s="109" t="s">
        <v>204</v>
      </c>
      <c r="M1" s="109" t="s">
        <v>19</v>
      </c>
      <c r="N1" s="111" t="s">
        <v>131</v>
      </c>
      <c r="O1" s="109" t="s">
        <v>54</v>
      </c>
      <c r="P1" s="109" t="s">
        <v>205</v>
      </c>
      <c r="Q1" s="109" t="s">
        <v>206</v>
      </c>
      <c r="R1" s="109" t="s">
        <v>207</v>
      </c>
      <c r="S1" s="109" t="s">
        <v>208</v>
      </c>
      <c r="T1" s="109" t="s">
        <v>209</v>
      </c>
      <c r="U1" s="109" t="s">
        <v>210</v>
      </c>
      <c r="V1" s="109" t="s">
        <v>211</v>
      </c>
      <c r="W1" s="109" t="s">
        <v>212</v>
      </c>
      <c r="X1" s="108" t="s">
        <v>213</v>
      </c>
      <c r="Y1" s="108" t="s">
        <v>214</v>
      </c>
      <c r="Z1" s="108" t="s">
        <v>215</v>
      </c>
      <c r="AA1" s="109" t="s">
        <v>361</v>
      </c>
    </row>
    <row r="2" spans="1:27">
      <c r="A2" s="112" t="s">
        <v>55</v>
      </c>
      <c r="B2" s="113">
        <v>348</v>
      </c>
      <c r="C2" s="114">
        <v>4.9684019607843133E-2</v>
      </c>
      <c r="D2" s="114">
        <v>4.6369827884157076E-2</v>
      </c>
      <c r="E2" s="114">
        <v>9.3416211064228122E-2</v>
      </c>
      <c r="F2" s="114">
        <v>0.24988852578843032</v>
      </c>
      <c r="G2" s="115">
        <v>0.98828053077342137</v>
      </c>
      <c r="H2" s="115">
        <v>1.1319137589948762</v>
      </c>
      <c r="I2" s="114">
        <v>7.4498232518104876E-2</v>
      </c>
      <c r="J2" s="114">
        <v>0.37243852902684466</v>
      </c>
      <c r="K2" s="114">
        <v>3.5299999999999998E-2</v>
      </c>
      <c r="L2" s="114">
        <v>0.2904840631480306</v>
      </c>
      <c r="M2" s="114">
        <v>6.0432377622794027E-2</v>
      </c>
      <c r="N2" s="115">
        <v>2.1401025368174569</v>
      </c>
      <c r="O2" s="115">
        <v>1.7076898417157673</v>
      </c>
      <c r="P2" s="115">
        <v>12.740599099038405</v>
      </c>
      <c r="Q2" s="115">
        <v>29.568733579081321</v>
      </c>
      <c r="R2" s="115">
        <v>2.5099680285363823</v>
      </c>
      <c r="S2" s="115">
        <v>69.026586566400582</v>
      </c>
      <c r="T2" s="114">
        <v>-2.8829764758556701E-2</v>
      </c>
      <c r="U2" s="114">
        <v>1.9024834754616627E-2</v>
      </c>
      <c r="V2" s="114">
        <v>1.183698856558044E-2</v>
      </c>
      <c r="W2" s="114">
        <v>-0.10606811432482084</v>
      </c>
      <c r="X2" s="114">
        <v>-3.9539237939158429E-2</v>
      </c>
      <c r="Y2" s="114">
        <v>9.0186292225834814E-3</v>
      </c>
      <c r="Z2" s="114">
        <v>9.0186292225834519E-3</v>
      </c>
      <c r="AA2" s="116">
        <v>4.960223639015808E-2</v>
      </c>
    </row>
    <row r="3" spans="1:27">
      <c r="A3" s="112" t="s">
        <v>56</v>
      </c>
      <c r="B3" s="113">
        <v>255</v>
      </c>
      <c r="C3" s="114">
        <v>7.8385465838509291E-2</v>
      </c>
      <c r="D3" s="114">
        <v>5.4749206360180713E-2</v>
      </c>
      <c r="E3" s="114">
        <v>0.11423386323796658</v>
      </c>
      <c r="F3" s="114">
        <v>0.21356462870588366</v>
      </c>
      <c r="G3" s="115">
        <v>1.0024811526281652</v>
      </c>
      <c r="H3" s="115">
        <v>1.1325267666463197</v>
      </c>
      <c r="I3" s="114">
        <v>7.4533541758828009E-2</v>
      </c>
      <c r="J3" s="114">
        <v>0.32562776491531553</v>
      </c>
      <c r="K3" s="114">
        <v>3.5299999999999998E-2</v>
      </c>
      <c r="L3" s="114">
        <v>0.23055784629941639</v>
      </c>
      <c r="M3" s="114">
        <v>6.3361300655311675E-2</v>
      </c>
      <c r="N3" s="115">
        <v>2.1134795842234686</v>
      </c>
      <c r="O3" s="115">
        <v>1.9271506260491551</v>
      </c>
      <c r="P3" s="115">
        <v>14.013550352444684</v>
      </c>
      <c r="Q3" s="115">
        <v>26.8606911293056</v>
      </c>
      <c r="R3" s="115">
        <v>4.6248530905303005</v>
      </c>
      <c r="S3" s="115">
        <v>76.247826896974757</v>
      </c>
      <c r="T3" s="114">
        <v>0.39359765020808668</v>
      </c>
      <c r="U3" s="114">
        <v>3.29534251364801E-2</v>
      </c>
      <c r="V3" s="114">
        <v>-1.9643446180409485E-3</v>
      </c>
      <c r="W3" s="114">
        <v>0.66511139977900413</v>
      </c>
      <c r="X3" s="114">
        <v>-1.7517061044385349E-3</v>
      </c>
      <c r="Y3" s="114">
        <v>1.0312764937080448E-2</v>
      </c>
      <c r="Z3" s="114">
        <v>1.0312764937080443E-2</v>
      </c>
      <c r="AA3" s="116">
        <v>5.9330014314364084E-2</v>
      </c>
    </row>
    <row r="4" spans="1:27">
      <c r="A4" s="112" t="s">
        <v>57</v>
      </c>
      <c r="B4" s="113">
        <v>156</v>
      </c>
      <c r="C4" s="114">
        <v>-2.6244384615384621E-2</v>
      </c>
      <c r="D4" s="114">
        <v>-0.14640343076642073</v>
      </c>
      <c r="E4" s="114">
        <v>-9.2360891836899606E-2</v>
      </c>
      <c r="F4" s="114">
        <v>0.31438683636038384</v>
      </c>
      <c r="G4" s="115">
        <v>0.91778936277112455</v>
      </c>
      <c r="H4" s="115">
        <v>1.5558940900594647</v>
      </c>
      <c r="I4" s="114">
        <v>9.8919499587425158E-2</v>
      </c>
      <c r="J4" s="114">
        <v>0.32755006386507213</v>
      </c>
      <c r="K4" s="114">
        <v>3.5299999999999998E-2</v>
      </c>
      <c r="L4" s="114">
        <v>0.55243824709024569</v>
      </c>
      <c r="M4" s="114">
        <v>5.8678025131636148E-2</v>
      </c>
      <c r="N4" s="115">
        <v>0.64572041264290558</v>
      </c>
      <c r="O4" s="115">
        <v>2.4945852060044076</v>
      </c>
      <c r="P4" s="115">
        <v>24.887778926888874</v>
      </c>
      <c r="Q4" s="115" t="s">
        <v>160</v>
      </c>
      <c r="R4" s="115">
        <v>2.6174104554995621</v>
      </c>
      <c r="S4" s="115">
        <v>140.70446974608913</v>
      </c>
      <c r="T4" s="114">
        <v>-7.4198546894930328E-2</v>
      </c>
      <c r="U4" s="114">
        <v>0.12671727568986016</v>
      </c>
      <c r="V4" s="114">
        <v>4.3821747409635396E-3</v>
      </c>
      <c r="W4" s="114" t="s">
        <v>160</v>
      </c>
      <c r="X4" s="114">
        <v>-0.35472999202518024</v>
      </c>
      <c r="Y4" s="114">
        <v>2.0935579476952265E-2</v>
      </c>
      <c r="Z4" s="114">
        <v>2.0935579476952237E-2</v>
      </c>
      <c r="AA4" s="116">
        <v>-0.15147464838783961</v>
      </c>
    </row>
    <row r="5" spans="1:27">
      <c r="A5" s="112" t="s">
        <v>58</v>
      </c>
      <c r="B5" s="113">
        <v>1188</v>
      </c>
      <c r="C5" s="114">
        <v>-1.9447300115874821E-2</v>
      </c>
      <c r="D5" s="114">
        <v>7.8952533089082663E-2</v>
      </c>
      <c r="E5" s="114">
        <v>8.7541800874119419E-2</v>
      </c>
      <c r="F5" s="114">
        <v>0.2763037037545783</v>
      </c>
      <c r="G5" s="115">
        <v>0.85376610935466801</v>
      </c>
      <c r="H5" s="115">
        <v>0.91974417018327004</v>
      </c>
      <c r="I5" s="114">
        <v>6.2277264202556346E-2</v>
      </c>
      <c r="J5" s="114">
        <v>0.31184050864198964</v>
      </c>
      <c r="K5" s="114">
        <v>3.5299999999999998E-2</v>
      </c>
      <c r="L5" s="114">
        <v>0.18044958371276787</v>
      </c>
      <c r="M5" s="114">
        <v>5.5744780996783337E-2</v>
      </c>
      <c r="N5" s="115">
        <v>1.2319624652352226</v>
      </c>
      <c r="O5" s="115">
        <v>2.9035711339165524</v>
      </c>
      <c r="P5" s="115">
        <v>21.19404750665937</v>
      </c>
      <c r="Q5" s="115">
        <v>35.171790239690779</v>
      </c>
      <c r="R5" s="115">
        <v>3.6532264662650271</v>
      </c>
      <c r="S5" s="115">
        <v>95.19271431887735</v>
      </c>
      <c r="T5" s="114">
        <v>0.24685103987739301</v>
      </c>
      <c r="U5" s="114">
        <v>4.3398495618431641E-2</v>
      </c>
      <c r="V5" s="114">
        <v>1.3140272307589266E-2</v>
      </c>
      <c r="W5" s="114">
        <v>0.24783335547374252</v>
      </c>
      <c r="X5" s="114">
        <v>2.4413691805016031E-2</v>
      </c>
      <c r="Y5" s="114">
        <v>1.7153366570976118</v>
      </c>
      <c r="Z5" s="114">
        <v>1.7153366570976118</v>
      </c>
      <c r="AA5" s="116">
        <v>8.0316717362856907E-2</v>
      </c>
    </row>
    <row r="6" spans="1:27">
      <c r="A6" s="112" t="s">
        <v>59</v>
      </c>
      <c r="B6" s="113">
        <v>144</v>
      </c>
      <c r="C6" s="114">
        <v>8.9593877551020426E-3</v>
      </c>
      <c r="D6" s="114">
        <v>2.6116229675050597E-2</v>
      </c>
      <c r="E6" s="114">
        <v>2.0197572882994522E-2</v>
      </c>
      <c r="F6" s="114">
        <v>0.26403304486438145</v>
      </c>
      <c r="G6" s="115">
        <v>1.0110464464402951</v>
      </c>
      <c r="H6" s="115">
        <v>1.3908100918793502</v>
      </c>
      <c r="I6" s="114">
        <v>8.9410661292250573E-2</v>
      </c>
      <c r="J6" s="114">
        <v>0.30826068857209266</v>
      </c>
      <c r="K6" s="114">
        <v>3.5299999999999998E-2</v>
      </c>
      <c r="L6" s="114">
        <v>0.42909268971600739</v>
      </c>
      <c r="M6" s="114">
        <v>6.2234268326302335E-2</v>
      </c>
      <c r="N6" s="115">
        <v>0.86286711983275</v>
      </c>
      <c r="O6" s="115">
        <v>1.5268667169799859</v>
      </c>
      <c r="P6" s="115">
        <v>19.792878287323244</v>
      </c>
      <c r="Q6" s="115">
        <v>53.778443636415865</v>
      </c>
      <c r="R6" s="115">
        <v>1.7637423999800206</v>
      </c>
      <c r="S6" s="115">
        <v>156.27256481915006</v>
      </c>
      <c r="T6" s="114">
        <v>6.2233425931519917E-3</v>
      </c>
      <c r="U6" s="114">
        <v>6.76093691509492E-2</v>
      </c>
      <c r="V6" s="114">
        <v>3.3133288141764819E-2</v>
      </c>
      <c r="W6" s="114">
        <v>1.0701501300192282</v>
      </c>
      <c r="X6" s="114">
        <v>1.9102539299651326E-2</v>
      </c>
      <c r="Y6" s="114">
        <v>1.2162737004645183</v>
      </c>
      <c r="Z6" s="114">
        <v>1.2162737004645183</v>
      </c>
      <c r="AA6" s="116">
        <v>2.7080488974336604E-2</v>
      </c>
    </row>
    <row r="7" spans="1:27">
      <c r="A7" s="112" t="s">
        <v>60</v>
      </c>
      <c r="B7" s="113">
        <v>709</v>
      </c>
      <c r="C7" s="114">
        <v>1.8493838951310862E-2</v>
      </c>
      <c r="D7" s="114">
        <v>2.6240731097590102E-2</v>
      </c>
      <c r="E7" s="114">
        <v>3.4016619949833765E-2</v>
      </c>
      <c r="F7" s="114">
        <v>0.2418073034474979</v>
      </c>
      <c r="G7" s="115">
        <v>1.2788553958040321</v>
      </c>
      <c r="H7" s="115">
        <v>1.401797850820661</v>
      </c>
      <c r="I7" s="114">
        <v>9.0043556207270073E-2</v>
      </c>
      <c r="J7" s="114">
        <v>0.29937810300029793</v>
      </c>
      <c r="K7" s="114">
        <v>3.5299999999999998E-2</v>
      </c>
      <c r="L7" s="114">
        <v>0.25581583423055049</v>
      </c>
      <c r="M7" s="114">
        <v>7.3679670592159408E-2</v>
      </c>
      <c r="N7" s="115">
        <v>1.3814967701299383</v>
      </c>
      <c r="O7" s="115">
        <v>1.0469651671946401</v>
      </c>
      <c r="P7" s="115">
        <v>11.243398611826539</v>
      </c>
      <c r="Q7" s="115">
        <v>36.171282728865734</v>
      </c>
      <c r="R7" s="115">
        <v>1.7167668461502721</v>
      </c>
      <c r="S7" s="115">
        <v>78.986718546697233</v>
      </c>
      <c r="T7" s="114">
        <v>0.12313890091459503</v>
      </c>
      <c r="U7" s="114">
        <v>5.8200234040694396E-2</v>
      </c>
      <c r="V7" s="114">
        <v>3.4512372602179021E-2</v>
      </c>
      <c r="W7" s="114">
        <v>1.751281828042802</v>
      </c>
      <c r="X7" s="114">
        <v>-1.6114394264670189E-2</v>
      </c>
      <c r="Y7" s="114">
        <v>7.1151835049649281E-3</v>
      </c>
      <c r="Z7" s="114">
        <v>7.1151835049649836E-3</v>
      </c>
      <c r="AA7" s="116">
        <v>2.7934809884103771E-2</v>
      </c>
    </row>
    <row r="8" spans="1:27">
      <c r="A8" s="112" t="s">
        <v>216</v>
      </c>
      <c r="B8" s="113">
        <v>620</v>
      </c>
      <c r="C8" s="114">
        <v>8.4532007233273088E-2</v>
      </c>
      <c r="D8" s="114">
        <v>1.9535025732567456E-3</v>
      </c>
      <c r="E8" s="114">
        <v>2.1134270243845115E-4</v>
      </c>
      <c r="F8" s="114">
        <v>0.20183852579244169</v>
      </c>
      <c r="G8" s="115">
        <v>0.47930202143470874</v>
      </c>
      <c r="H8" s="115">
        <v>0.99582213065794545</v>
      </c>
      <c r="I8" s="114">
        <v>6.6659354725897652E-2</v>
      </c>
      <c r="J8" s="114">
        <v>0.2118167315121493</v>
      </c>
      <c r="K8" s="114">
        <v>2.8699999999999996E-2</v>
      </c>
      <c r="L8" s="114">
        <v>0.75417794271874294</v>
      </c>
      <c r="M8" s="114">
        <v>3.2375432484179067E-2</v>
      </c>
      <c r="N8" s="115">
        <v>0.12240599459485685</v>
      </c>
      <c r="O8" s="115">
        <v>7.7481135419615139</v>
      </c>
      <c r="P8" s="115" t="s">
        <v>160</v>
      </c>
      <c r="Q8" s="115" t="s">
        <v>160</v>
      </c>
      <c r="R8" s="115">
        <v>0.80587467363951137</v>
      </c>
      <c r="S8" s="115">
        <v>71.414345087258567</v>
      </c>
      <c r="T8" s="114" t="s">
        <v>160</v>
      </c>
      <c r="U8" s="114">
        <v>3.3249923237519331E-2</v>
      </c>
      <c r="V8" s="114">
        <v>4.0850262075864806E-2</v>
      </c>
      <c r="W8" s="114">
        <v>19.655844871660989</v>
      </c>
      <c r="X8" s="114">
        <v>7.7033619384960325E-2</v>
      </c>
      <c r="Y8" s="114">
        <v>0.37385577177961449</v>
      </c>
      <c r="Z8" s="114">
        <v>0.37385577177961449</v>
      </c>
      <c r="AA8" s="116">
        <v>2.1574186564773325E-3</v>
      </c>
    </row>
    <row r="9" spans="1:27">
      <c r="A9" s="112" t="s">
        <v>61</v>
      </c>
      <c r="B9" s="113">
        <v>850</v>
      </c>
      <c r="C9" s="114">
        <v>7.0974012738853481E-2</v>
      </c>
      <c r="D9" s="114">
        <v>-1.9084141059655401E-4</v>
      </c>
      <c r="E9" s="114">
        <v>-3.1101571399630429E-4</v>
      </c>
      <c r="F9" s="114">
        <v>0.19244130955102906</v>
      </c>
      <c r="G9" s="115">
        <v>0.54160856853144601</v>
      </c>
      <c r="H9" s="115">
        <v>0.69315007351984981</v>
      </c>
      <c r="I9" s="114">
        <v>4.9225444234743343E-2</v>
      </c>
      <c r="J9" s="114">
        <v>0.19259738563288453</v>
      </c>
      <c r="K9" s="114">
        <v>2.8699999999999996E-2</v>
      </c>
      <c r="L9" s="114">
        <v>0.66124714144544772</v>
      </c>
      <c r="M9" s="114">
        <v>3.06941556073081E-2</v>
      </c>
      <c r="N9" s="115">
        <v>0.18061916348465945</v>
      </c>
      <c r="O9" s="115">
        <v>4.9412782800339281</v>
      </c>
      <c r="P9" s="115" t="s">
        <v>160</v>
      </c>
      <c r="Q9" s="115" t="s">
        <v>160</v>
      </c>
      <c r="R9" s="115">
        <v>0.81441719155435022</v>
      </c>
      <c r="S9" s="115">
        <v>17.678497838941823</v>
      </c>
      <c r="T9" s="114" t="s">
        <v>160</v>
      </c>
      <c r="U9" s="114">
        <v>4.1003001672158E-2</v>
      </c>
      <c r="V9" s="114">
        <v>2.6572613835878743E-2</v>
      </c>
      <c r="W9" s="114" t="s">
        <v>160</v>
      </c>
      <c r="X9" s="114">
        <v>7.2619395511822976E-2</v>
      </c>
      <c r="Y9" s="114">
        <v>0.54399573104709187</v>
      </c>
      <c r="Z9" s="114">
        <v>0.54399573104709187</v>
      </c>
      <c r="AA9" s="116">
        <v>-2.1088300151206594E-3</v>
      </c>
    </row>
    <row r="10" spans="1:27">
      <c r="A10" s="112" t="s">
        <v>62</v>
      </c>
      <c r="B10" s="113">
        <v>223</v>
      </c>
      <c r="C10" s="114">
        <v>7.3401377245508978E-2</v>
      </c>
      <c r="D10" s="114">
        <v>0.20272296899195852</v>
      </c>
      <c r="E10" s="114">
        <v>0.11494548796982305</v>
      </c>
      <c r="F10" s="114">
        <v>0.25178165969865146</v>
      </c>
      <c r="G10" s="115">
        <v>0.7341539604842614</v>
      </c>
      <c r="H10" s="115">
        <v>0.80333927488654622</v>
      </c>
      <c r="I10" s="114">
        <v>5.5572342233465064E-2</v>
      </c>
      <c r="J10" s="114">
        <v>0.24277812430582729</v>
      </c>
      <c r="K10" s="114">
        <v>2.8699999999999996E-2</v>
      </c>
      <c r="L10" s="114">
        <v>0.15014863898939057</v>
      </c>
      <c r="M10" s="114">
        <v>5.0411485430793643E-2</v>
      </c>
      <c r="N10" s="115">
        <v>0.67786470217942008</v>
      </c>
      <c r="O10" s="115">
        <v>5.863688719779713</v>
      </c>
      <c r="P10" s="115">
        <v>22.588944420379654</v>
      </c>
      <c r="Q10" s="115">
        <v>28.795988823563306</v>
      </c>
      <c r="R10" s="115">
        <v>4.9519257970523416</v>
      </c>
      <c r="S10" s="115">
        <v>163.76681633353238</v>
      </c>
      <c r="T10" s="114">
        <v>0.10258976751752767</v>
      </c>
      <c r="U10" s="114">
        <v>5.0188737263381918E-2</v>
      </c>
      <c r="V10" s="114">
        <v>3.9329076084952889E-2</v>
      </c>
      <c r="W10" s="114">
        <v>0.24686269813777073</v>
      </c>
      <c r="X10" s="114">
        <v>9.1364311380789182E-2</v>
      </c>
      <c r="Y10" s="114">
        <v>0.72964737861567774</v>
      </c>
      <c r="Z10" s="114">
        <v>0.72964737861567774</v>
      </c>
      <c r="AA10" s="116">
        <v>0.20305434892882004</v>
      </c>
    </row>
    <row r="11" spans="1:27">
      <c r="A11" s="112" t="s">
        <v>217</v>
      </c>
      <c r="B11" s="113">
        <v>108</v>
      </c>
      <c r="C11" s="114">
        <v>6.3918688524590164E-2</v>
      </c>
      <c r="D11" s="114">
        <v>0.15004359982735904</v>
      </c>
      <c r="E11" s="114">
        <v>0.19808135464622645</v>
      </c>
      <c r="F11" s="114">
        <v>0.22094943478359111</v>
      </c>
      <c r="G11" s="115">
        <v>0.65091162659976631</v>
      </c>
      <c r="H11" s="115">
        <v>0.71868000537713383</v>
      </c>
      <c r="I11" s="114">
        <v>5.0695968309722908E-2</v>
      </c>
      <c r="J11" s="114">
        <v>0.31202243631071858</v>
      </c>
      <c r="K11" s="114">
        <v>3.5299999999999998E-2</v>
      </c>
      <c r="L11" s="114">
        <v>0.17567595959055829</v>
      </c>
      <c r="M11" s="114">
        <v>4.6370851076178755E-2</v>
      </c>
      <c r="N11" s="115">
        <v>1.472125004619433</v>
      </c>
      <c r="O11" s="115">
        <v>3.7948323266530735</v>
      </c>
      <c r="P11" s="115">
        <v>19.291621738747072</v>
      </c>
      <c r="Q11" s="115">
        <v>25.141934749095892</v>
      </c>
      <c r="R11" s="115">
        <v>5.9017232477314749</v>
      </c>
      <c r="S11" s="115">
        <v>82.18337119152622</v>
      </c>
      <c r="T11" s="114">
        <v>-5.5448386273398043E-2</v>
      </c>
      <c r="U11" s="114">
        <v>5.351758246088692E-2</v>
      </c>
      <c r="V11" s="114">
        <v>4.9512500008634427E-2</v>
      </c>
      <c r="W11" s="114">
        <v>0.36271095407111131</v>
      </c>
      <c r="X11" s="114">
        <v>0.19343727734061583</v>
      </c>
      <c r="Y11" s="114">
        <v>0.78483846024929338</v>
      </c>
      <c r="Z11" s="114">
        <v>0.78483846024929338</v>
      </c>
      <c r="AA11" s="116">
        <v>0.15082503605065087</v>
      </c>
    </row>
    <row r="12" spans="1:27">
      <c r="A12" s="112" t="s">
        <v>63</v>
      </c>
      <c r="B12" s="113">
        <v>146</v>
      </c>
      <c r="C12" s="114">
        <v>1.324925619834711E-2</v>
      </c>
      <c r="D12" s="114">
        <v>0.14787517294448518</v>
      </c>
      <c r="E12" s="114">
        <v>0.12962343724148687</v>
      </c>
      <c r="F12" s="114">
        <v>0.23932247245409341</v>
      </c>
      <c r="G12" s="115">
        <v>0.68587684160348561</v>
      </c>
      <c r="H12" s="115">
        <v>0.97572060904126745</v>
      </c>
      <c r="I12" s="114">
        <v>6.5501507080776997E-2</v>
      </c>
      <c r="J12" s="114">
        <v>0.31231753614001356</v>
      </c>
      <c r="K12" s="114">
        <v>3.5299999999999998E-2</v>
      </c>
      <c r="L12" s="114">
        <v>0.43511625190134506</v>
      </c>
      <c r="M12" s="114">
        <v>4.8346876073267077E-2</v>
      </c>
      <c r="N12" s="115">
        <v>0.99552927380374201</v>
      </c>
      <c r="O12" s="115">
        <v>1.7970064129869014</v>
      </c>
      <c r="P12" s="115">
        <v>8.1361092182101196</v>
      </c>
      <c r="Q12" s="115">
        <v>11.773187414350323</v>
      </c>
      <c r="R12" s="115">
        <v>1.34689473750717</v>
      </c>
      <c r="S12" s="115">
        <v>26.64149731131128</v>
      </c>
      <c r="T12" s="114">
        <v>0.14640198760484041</v>
      </c>
      <c r="U12" s="114">
        <v>3.6197823486362586E-2</v>
      </c>
      <c r="V12" s="114">
        <v>-2.9642709176272533E-4</v>
      </c>
      <c r="W12" s="114">
        <v>0.80752815364908204</v>
      </c>
      <c r="X12" s="114">
        <v>1.9465284070952146E-2</v>
      </c>
      <c r="Y12" s="114">
        <v>1.2773396025035546</v>
      </c>
      <c r="Z12" s="114">
        <v>1.2773396025035546</v>
      </c>
      <c r="AA12" s="116">
        <v>0.14665719487319243</v>
      </c>
    </row>
    <row r="13" spans="1:27">
      <c r="A13" s="112" t="s">
        <v>64</v>
      </c>
      <c r="B13" s="113">
        <v>575</v>
      </c>
      <c r="C13" s="114">
        <v>8.3588167938931257E-2</v>
      </c>
      <c r="D13" s="114">
        <v>1.0291138834191039E-2</v>
      </c>
      <c r="E13" s="114">
        <v>1.4969793363148565E-3</v>
      </c>
      <c r="F13" s="114">
        <v>0.22230716721406613</v>
      </c>
      <c r="G13" s="115">
        <v>0.41708121239775142</v>
      </c>
      <c r="H13" s="115">
        <v>0.85701749920535353</v>
      </c>
      <c r="I13" s="114">
        <v>5.8664207954228359E-2</v>
      </c>
      <c r="J13" s="114">
        <v>0.29641128537845668</v>
      </c>
      <c r="K13" s="114">
        <v>3.5299999999999998E-2</v>
      </c>
      <c r="L13" s="114">
        <v>0.66165279761405216</v>
      </c>
      <c r="M13" s="114">
        <v>3.7102201773892396E-2</v>
      </c>
      <c r="N13" s="115">
        <v>0.19427680834264099</v>
      </c>
      <c r="O13" s="115">
        <v>6.6193034882563797</v>
      </c>
      <c r="P13" s="115" t="s">
        <v>160</v>
      </c>
      <c r="Q13" s="115" t="s">
        <v>160</v>
      </c>
      <c r="R13" s="115">
        <v>1.5977468994922899</v>
      </c>
      <c r="S13" s="115">
        <v>44.201549360580934</v>
      </c>
      <c r="T13" s="114">
        <v>-2.0402288547815743</v>
      </c>
      <c r="U13" s="114">
        <v>3.7189883664496791E-2</v>
      </c>
      <c r="V13" s="114">
        <v>1.7440904949260462E-2</v>
      </c>
      <c r="W13" s="114">
        <v>-10.226284298674983</v>
      </c>
      <c r="X13" s="114">
        <v>0.10248729057098893</v>
      </c>
      <c r="Y13" s="114">
        <v>0.51594190545436469</v>
      </c>
      <c r="Z13" s="114">
        <v>0.51594190545436469</v>
      </c>
      <c r="AA13" s="116">
        <v>8.8937467361876674E-3</v>
      </c>
    </row>
    <row r="14" spans="1:27">
      <c r="A14" s="112" t="s">
        <v>65</v>
      </c>
      <c r="B14" s="113">
        <v>439</v>
      </c>
      <c r="C14" s="114">
        <v>1.9863768115942038E-2</v>
      </c>
      <c r="D14" s="114">
        <v>8.6163651007424333E-2</v>
      </c>
      <c r="E14" s="114">
        <v>0.12205115913914638</v>
      </c>
      <c r="F14" s="114">
        <v>0.25575914912776199</v>
      </c>
      <c r="G14" s="115">
        <v>0.90933978041253483</v>
      </c>
      <c r="H14" s="115">
        <v>0.99073259666206137</v>
      </c>
      <c r="I14" s="114">
        <v>6.6366197567734736E-2</v>
      </c>
      <c r="J14" s="114">
        <v>0.27507310410768809</v>
      </c>
      <c r="K14" s="114">
        <v>3.5299999999999998E-2</v>
      </c>
      <c r="L14" s="114">
        <v>0.19903276640502102</v>
      </c>
      <c r="M14" s="114">
        <v>5.8347149980427948E-2</v>
      </c>
      <c r="N14" s="115">
        <v>1.6645875685228881</v>
      </c>
      <c r="O14" s="115">
        <v>1.8097196742726982</v>
      </c>
      <c r="P14" s="115">
        <v>13.579397096941168</v>
      </c>
      <c r="Q14" s="115">
        <v>20.467603763788127</v>
      </c>
      <c r="R14" s="115">
        <v>2.9016209528197781</v>
      </c>
      <c r="S14" s="115">
        <v>66.921637665328106</v>
      </c>
      <c r="T14" s="114">
        <v>0.17070952099764924</v>
      </c>
      <c r="U14" s="114">
        <v>4.1427678729482872E-2</v>
      </c>
      <c r="V14" s="114">
        <v>3.1259848205070613E-2</v>
      </c>
      <c r="W14" s="114">
        <v>0.35428453901100215</v>
      </c>
      <c r="X14" s="114">
        <v>8.6866940965972347E-2</v>
      </c>
      <c r="Y14" s="114">
        <v>0.41472296337245529</v>
      </c>
      <c r="Z14" s="114">
        <v>0.41472296337245529</v>
      </c>
      <c r="AA14" s="116">
        <v>8.7804084791722331E-2</v>
      </c>
    </row>
    <row r="15" spans="1:27">
      <c r="A15" s="112" t="s">
        <v>66</v>
      </c>
      <c r="B15" s="113">
        <v>923</v>
      </c>
      <c r="C15" s="114">
        <v>7.367932604735887E-2</v>
      </c>
      <c r="D15" s="114">
        <v>7.6073901082570783E-2</v>
      </c>
      <c r="E15" s="114">
        <v>0.1619707701951342</v>
      </c>
      <c r="F15" s="114">
        <v>0.25588898098952817</v>
      </c>
      <c r="G15" s="115">
        <v>0.9130597184101551</v>
      </c>
      <c r="H15" s="115">
        <v>0.98900512919249439</v>
      </c>
      <c r="I15" s="114">
        <v>6.626669544148768E-2</v>
      </c>
      <c r="J15" s="114">
        <v>0.32241370099516747</v>
      </c>
      <c r="K15" s="114">
        <v>3.5299999999999998E-2</v>
      </c>
      <c r="L15" s="114">
        <v>0.17754712049676549</v>
      </c>
      <c r="M15" s="114">
        <v>5.9130972725272318E-2</v>
      </c>
      <c r="N15" s="115">
        <v>2.4526219940928735</v>
      </c>
      <c r="O15" s="115">
        <v>2.1747914512705848</v>
      </c>
      <c r="P15" s="115">
        <v>17.284995888960246</v>
      </c>
      <c r="Q15" s="115">
        <v>27.399599453647038</v>
      </c>
      <c r="R15" s="115">
        <v>4.5433163142566588</v>
      </c>
      <c r="S15" s="115">
        <v>90.749111400134126</v>
      </c>
      <c r="T15" s="114">
        <v>8.9143028810571553E-2</v>
      </c>
      <c r="U15" s="114">
        <v>2.693561349959557E-2</v>
      </c>
      <c r="V15" s="114">
        <v>8.7702636169066928E-3</v>
      </c>
      <c r="W15" s="114">
        <v>-6.118581388095989E-3</v>
      </c>
      <c r="X15" s="114">
        <v>8.881233838203681E-2</v>
      </c>
      <c r="Y15" s="114">
        <v>0.70647832041996217</v>
      </c>
      <c r="Z15" s="114">
        <v>0.70647832041996217</v>
      </c>
      <c r="AA15" s="116">
        <v>7.8156252627299028E-2</v>
      </c>
    </row>
    <row r="16" spans="1:27">
      <c r="A16" s="112" t="s">
        <v>67</v>
      </c>
      <c r="B16" s="113">
        <v>60</v>
      </c>
      <c r="C16" s="114">
        <v>1.8461395348837208E-2</v>
      </c>
      <c r="D16" s="114">
        <v>0.18120573700866768</v>
      </c>
      <c r="E16" s="114">
        <v>0.11273736665557826</v>
      </c>
      <c r="F16" s="114">
        <v>0.22910601629864716</v>
      </c>
      <c r="G16" s="115">
        <v>0.78463068141571835</v>
      </c>
      <c r="H16" s="115">
        <v>1.054606414897804</v>
      </c>
      <c r="I16" s="114">
        <v>7.0045329498113512E-2</v>
      </c>
      <c r="J16" s="114">
        <v>0.30642808544899103</v>
      </c>
      <c r="K16" s="114">
        <v>3.5299999999999998E-2</v>
      </c>
      <c r="L16" s="114">
        <v>0.3447516621771386</v>
      </c>
      <c r="M16" s="114">
        <v>5.4886867991507431E-2</v>
      </c>
      <c r="N16" s="115">
        <v>0.73023505326560412</v>
      </c>
      <c r="O16" s="115">
        <v>3.6661791915588653</v>
      </c>
      <c r="P16" s="115">
        <v>10.395373883711642</v>
      </c>
      <c r="Q16" s="115">
        <v>19.343111840923548</v>
      </c>
      <c r="R16" s="115">
        <v>2.7469553595398271</v>
      </c>
      <c r="S16" s="115">
        <v>41.39629383405336</v>
      </c>
      <c r="T16" s="114">
        <v>-6.552823118284271E-4</v>
      </c>
      <c r="U16" s="114">
        <v>0.11704535160235692</v>
      </c>
      <c r="V16" s="114">
        <v>-2.1053584023977966E-2</v>
      </c>
      <c r="W16" s="114">
        <v>-0.15896999663209133</v>
      </c>
      <c r="X16" s="114">
        <v>0.10469353726580118</v>
      </c>
      <c r="Y16" s="114">
        <v>0.3291022889389591</v>
      </c>
      <c r="Z16" s="114">
        <v>0.3291022889389591</v>
      </c>
      <c r="AA16" s="116">
        <v>0.1807178082970915</v>
      </c>
    </row>
    <row r="17" spans="1:27">
      <c r="A17" s="112" t="s">
        <v>68</v>
      </c>
      <c r="B17" s="113">
        <v>844</v>
      </c>
      <c r="C17" s="114">
        <v>5.6104414715719059E-2</v>
      </c>
      <c r="D17" s="114">
        <v>6.486937609306058E-2</v>
      </c>
      <c r="E17" s="114">
        <v>5.830047024143202E-2</v>
      </c>
      <c r="F17" s="114">
        <v>0.2247168074718624</v>
      </c>
      <c r="G17" s="115">
        <v>0.9311754214530038</v>
      </c>
      <c r="H17" s="115">
        <v>1.0691111060471685</v>
      </c>
      <c r="I17" s="114">
        <v>7.0880799708316899E-2</v>
      </c>
      <c r="J17" s="114">
        <v>0.28522576751584339</v>
      </c>
      <c r="K17" s="114">
        <v>3.5299999999999998E-2</v>
      </c>
      <c r="L17" s="114">
        <v>0.25797818777222542</v>
      </c>
      <c r="M17" s="114">
        <v>5.9322167053668426E-2</v>
      </c>
      <c r="N17" s="115">
        <v>1.0424667501964167</v>
      </c>
      <c r="O17" s="115">
        <v>1.7591172468941758</v>
      </c>
      <c r="P17" s="115">
        <v>13.320041688164443</v>
      </c>
      <c r="Q17" s="115">
        <v>26.300440571081324</v>
      </c>
      <c r="R17" s="115">
        <v>1.8976012984662189</v>
      </c>
      <c r="S17" s="115">
        <v>47.062325576814928</v>
      </c>
      <c r="T17" s="114">
        <v>0.12169372266725441</v>
      </c>
      <c r="U17" s="114">
        <v>8.9905922482783576E-2</v>
      </c>
      <c r="V17" s="114">
        <v>5.7049136183993265E-2</v>
      </c>
      <c r="W17" s="114">
        <v>1.0408000196656972</v>
      </c>
      <c r="X17" s="114">
        <v>3.9737528173163325E-2</v>
      </c>
      <c r="Y17" s="114">
        <v>1.3594998306259558</v>
      </c>
      <c r="Z17" s="114">
        <v>1.3594998306259558</v>
      </c>
      <c r="AA17" s="116">
        <v>6.5994029932310322E-2</v>
      </c>
    </row>
    <row r="18" spans="1:27">
      <c r="A18" s="112" t="s">
        <v>69</v>
      </c>
      <c r="B18" s="113">
        <v>73</v>
      </c>
      <c r="C18" s="114">
        <v>3.3375156249999989E-2</v>
      </c>
      <c r="D18" s="114">
        <v>3.8085858363706718E-2</v>
      </c>
      <c r="E18" s="114">
        <v>3.1247938911890712E-2</v>
      </c>
      <c r="F18" s="114">
        <v>0.2481112941009404</v>
      </c>
      <c r="G18" s="115">
        <v>1.048031632511917</v>
      </c>
      <c r="H18" s="115">
        <v>1.3270222093432342</v>
      </c>
      <c r="I18" s="114">
        <v>8.5736479258170295E-2</v>
      </c>
      <c r="J18" s="114">
        <v>0.24887445646975331</v>
      </c>
      <c r="K18" s="114">
        <v>2.8699999999999996E-2</v>
      </c>
      <c r="L18" s="114">
        <v>0.34884428409662488</v>
      </c>
      <c r="M18" s="114">
        <v>6.3223538055793227E-2</v>
      </c>
      <c r="N18" s="115">
        <v>0.97332501801013505</v>
      </c>
      <c r="O18" s="115">
        <v>1.3678853453654181</v>
      </c>
      <c r="P18" s="115">
        <v>12.956374740690297</v>
      </c>
      <c r="Q18" s="115">
        <v>35.241171506105204</v>
      </c>
      <c r="R18" s="115">
        <v>1.4535072618966636</v>
      </c>
      <c r="S18" s="115">
        <v>129.62251426929518</v>
      </c>
      <c r="T18" s="114">
        <v>0.19363001707459326</v>
      </c>
      <c r="U18" s="114">
        <v>6.7745115648685572E-2</v>
      </c>
      <c r="V18" s="114">
        <v>2.9530869367977258E-2</v>
      </c>
      <c r="W18" s="114">
        <v>0.71175902551126269</v>
      </c>
      <c r="X18" s="114">
        <v>-2.9490179506814138E-2</v>
      </c>
      <c r="Y18" s="114">
        <v>3.3326973623931548E-2</v>
      </c>
      <c r="Z18" s="114">
        <v>3.3326973623931555E-2</v>
      </c>
      <c r="AA18" s="116">
        <v>3.919076713616907E-2</v>
      </c>
    </row>
    <row r="19" spans="1:27">
      <c r="A19" s="112" t="s">
        <v>70</v>
      </c>
      <c r="B19" s="113">
        <v>861</v>
      </c>
      <c r="C19" s="114">
        <v>5.3702586805555577E-2</v>
      </c>
      <c r="D19" s="114">
        <v>9.7072547158261024E-2</v>
      </c>
      <c r="E19" s="114">
        <v>8.8308547831840806E-2</v>
      </c>
      <c r="F19" s="114">
        <v>0.21582117341015417</v>
      </c>
      <c r="G19" s="115">
        <v>0.98768405232875189</v>
      </c>
      <c r="H19" s="115">
        <v>1.0808109733679223</v>
      </c>
      <c r="I19" s="114">
        <v>7.1554712065992329E-2</v>
      </c>
      <c r="J19" s="114">
        <v>0.30269248685602462</v>
      </c>
      <c r="K19" s="114">
        <v>3.5299999999999998E-2</v>
      </c>
      <c r="L19" s="114">
        <v>0.17796850390004934</v>
      </c>
      <c r="M19" s="114">
        <v>6.3460953296841982E-2</v>
      </c>
      <c r="N19" s="115">
        <v>1.0615571011396603</v>
      </c>
      <c r="O19" s="115">
        <v>2.7516139361571579</v>
      </c>
      <c r="P19" s="115">
        <v>15.88532911777755</v>
      </c>
      <c r="Q19" s="115">
        <v>27.731356607432527</v>
      </c>
      <c r="R19" s="115">
        <v>2.87126621477407</v>
      </c>
      <c r="S19" s="115">
        <v>61.435271843483626</v>
      </c>
      <c r="T19" s="114">
        <v>0.17884070358888488</v>
      </c>
      <c r="U19" s="114">
        <v>7.5863195918145318E-2</v>
      </c>
      <c r="V19" s="114">
        <v>3.4709686049002451E-2</v>
      </c>
      <c r="W19" s="114">
        <v>0.34999443518798062</v>
      </c>
      <c r="X19" s="114">
        <v>5.3334231251365743E-2</v>
      </c>
      <c r="Y19" s="114">
        <v>0.89609478658169672</v>
      </c>
      <c r="Z19" s="114">
        <v>0.89609478658169672</v>
      </c>
      <c r="AA19" s="116">
        <v>9.7960105953595902E-2</v>
      </c>
    </row>
    <row r="20" spans="1:27">
      <c r="A20" s="112" t="s">
        <v>71</v>
      </c>
      <c r="B20" s="113">
        <v>222</v>
      </c>
      <c r="C20" s="114">
        <v>6.571418181818181E-2</v>
      </c>
      <c r="D20" s="114">
        <v>0.1218290816170572</v>
      </c>
      <c r="E20" s="114">
        <v>0.10531492718469361</v>
      </c>
      <c r="F20" s="114">
        <v>0.23719120869784457</v>
      </c>
      <c r="G20" s="115">
        <v>0.89594123744909981</v>
      </c>
      <c r="H20" s="115">
        <v>1.0136799861257231</v>
      </c>
      <c r="I20" s="114">
        <v>6.7687967200841651E-2</v>
      </c>
      <c r="J20" s="114">
        <v>0.4086933250594344</v>
      </c>
      <c r="K20" s="114">
        <v>3.9480000000000001E-2</v>
      </c>
      <c r="L20" s="114">
        <v>0.35535304618159413</v>
      </c>
      <c r="M20" s="114">
        <v>5.3998314041245027E-2</v>
      </c>
      <c r="N20" s="115">
        <v>0.92486496379748961</v>
      </c>
      <c r="O20" s="115">
        <v>1.2333180933827743</v>
      </c>
      <c r="P20" s="115">
        <v>5.5931058061681291</v>
      </c>
      <c r="Q20" s="115">
        <v>9.5335061064527746</v>
      </c>
      <c r="R20" s="115">
        <v>0.95876258879721621</v>
      </c>
      <c r="S20" s="115">
        <v>22.510916116238789</v>
      </c>
      <c r="T20" s="114">
        <v>-1.7644460636817693E-2</v>
      </c>
      <c r="U20" s="114">
        <v>8.0290295502526199E-2</v>
      </c>
      <c r="V20" s="114">
        <v>2.3395224056865994E-2</v>
      </c>
      <c r="W20" s="114">
        <v>0.44516154941050168</v>
      </c>
      <c r="X20" s="114">
        <v>7.6033482121894327E-2</v>
      </c>
      <c r="Y20" s="114">
        <v>0.98304123575768687</v>
      </c>
      <c r="Z20" s="114">
        <v>0.98304123575768687</v>
      </c>
      <c r="AA20" s="116">
        <v>0.12240118268833063</v>
      </c>
    </row>
    <row r="21" spans="1:27">
      <c r="A21" s="112" t="s">
        <v>72</v>
      </c>
      <c r="B21" s="113">
        <v>1007</v>
      </c>
      <c r="C21" s="114">
        <v>6.1537840909090882E-2</v>
      </c>
      <c r="D21" s="114">
        <v>6.918678973224604E-2</v>
      </c>
      <c r="E21" s="114">
        <v>0.19175452489110154</v>
      </c>
      <c r="F21" s="114">
        <v>0.22243146519854123</v>
      </c>
      <c r="G21" s="115">
        <v>1.0025716503468709</v>
      </c>
      <c r="H21" s="115">
        <v>1.0511211184102125</v>
      </c>
      <c r="I21" s="114">
        <v>6.9844576420428239E-2</v>
      </c>
      <c r="J21" s="114">
        <v>0.31021095939892362</v>
      </c>
      <c r="K21" s="114">
        <v>3.5299999999999998E-2</v>
      </c>
      <c r="L21" s="114">
        <v>0.15546475930731418</v>
      </c>
      <c r="M21" s="114">
        <v>6.3040122323126099E-2</v>
      </c>
      <c r="N21" s="115">
        <v>3.2119052522719165</v>
      </c>
      <c r="O21" s="115">
        <v>1.441639137513786</v>
      </c>
      <c r="P21" s="115">
        <v>14.007509742166441</v>
      </c>
      <c r="Q21" s="115">
        <v>20.066899366604499</v>
      </c>
      <c r="R21" s="115">
        <v>3.8685276547508676</v>
      </c>
      <c r="S21" s="115">
        <v>60.298218937586419</v>
      </c>
      <c r="T21" s="114">
        <v>0.13181020432004231</v>
      </c>
      <c r="U21" s="114">
        <v>1.6630968016223786E-2</v>
      </c>
      <c r="V21" s="114">
        <v>1.0223152944133935E-2</v>
      </c>
      <c r="W21" s="114">
        <v>9.8322118406711428E-2</v>
      </c>
      <c r="X21" s="114">
        <v>0.14318370184159132</v>
      </c>
      <c r="Y21" s="114">
        <v>0.51514467077835424</v>
      </c>
      <c r="Z21" s="114">
        <v>0.51514467077835424</v>
      </c>
      <c r="AA21" s="116">
        <v>7.1136549470746033E-2</v>
      </c>
    </row>
    <row r="22" spans="1:27">
      <c r="A22" s="112" t="s">
        <v>73</v>
      </c>
      <c r="B22" s="113">
        <v>337</v>
      </c>
      <c r="C22" s="114">
        <v>5.8444534412955542E-3</v>
      </c>
      <c r="D22" s="114">
        <v>0.10061552016867199</v>
      </c>
      <c r="E22" s="114">
        <v>0.15095340226442908</v>
      </c>
      <c r="F22" s="114">
        <v>0.1888157572805608</v>
      </c>
      <c r="G22" s="115">
        <v>1.2349266090265119</v>
      </c>
      <c r="H22" s="115">
        <v>1.2663921417568875</v>
      </c>
      <c r="I22" s="114">
        <v>8.2244187365196716E-2</v>
      </c>
      <c r="J22" s="114">
        <v>0.31511930727499099</v>
      </c>
      <c r="K22" s="114">
        <v>3.5299999999999998E-2</v>
      </c>
      <c r="L22" s="114">
        <v>9.6442469183214571E-2</v>
      </c>
      <c r="M22" s="114">
        <v>7.6827199294823331E-2</v>
      </c>
      <c r="N22" s="115">
        <v>1.6523591911652566</v>
      </c>
      <c r="O22" s="115">
        <v>2.8016692606470146</v>
      </c>
      <c r="P22" s="115">
        <v>18.051479681681482</v>
      </c>
      <c r="Q22" s="115">
        <v>27.536708740206596</v>
      </c>
      <c r="R22" s="115">
        <v>6.205039303815056</v>
      </c>
      <c r="S22" s="115">
        <v>57.748484821262934</v>
      </c>
      <c r="T22" s="114">
        <v>1.6198343975937411E-2</v>
      </c>
      <c r="U22" s="114">
        <v>4.4776418516260838E-2</v>
      </c>
      <c r="V22" s="114">
        <v>2.922467877265536E-2</v>
      </c>
      <c r="W22" s="114">
        <v>0.35941514592995583</v>
      </c>
      <c r="X22" s="114">
        <v>0.19085449785345163</v>
      </c>
      <c r="Y22" s="114">
        <v>0.34570791278462731</v>
      </c>
      <c r="Z22" s="114">
        <v>0.34570791278462731</v>
      </c>
      <c r="AA22" s="116">
        <v>0.10381742632021614</v>
      </c>
    </row>
    <row r="23" spans="1:27">
      <c r="A23" s="112" t="s">
        <v>218</v>
      </c>
      <c r="B23" s="113">
        <v>753</v>
      </c>
      <c r="C23" s="114">
        <v>3.7298051724137936E-2</v>
      </c>
      <c r="D23" s="114">
        <v>9.3247578389235378E-2</v>
      </c>
      <c r="E23" s="114">
        <v>9.4529588248266239E-2</v>
      </c>
      <c r="F23" s="114">
        <v>0.22249109691449359</v>
      </c>
      <c r="G23" s="115">
        <v>0.94890079691153817</v>
      </c>
      <c r="H23" s="115">
        <v>1.0957343284461016</v>
      </c>
      <c r="I23" s="114">
        <v>7.2414297318495455E-2</v>
      </c>
      <c r="J23" s="114">
        <v>0.28733443270571196</v>
      </c>
      <c r="K23" s="114">
        <v>3.5299999999999998E-2</v>
      </c>
      <c r="L23" s="114">
        <v>0.28909912122032472</v>
      </c>
      <c r="M23" s="114">
        <v>5.9017968085775627E-2</v>
      </c>
      <c r="N23" s="115">
        <v>1.1582545079632034</v>
      </c>
      <c r="O23" s="115">
        <v>1.5904793753246216</v>
      </c>
      <c r="P23" s="115">
        <v>10.895685858664661</v>
      </c>
      <c r="Q23" s="115">
        <v>16.464972101413746</v>
      </c>
      <c r="R23" s="115">
        <v>1.7597374934063412</v>
      </c>
      <c r="S23" s="115">
        <v>49.378073140223421</v>
      </c>
      <c r="T23" s="114">
        <v>0.10099063374463307</v>
      </c>
      <c r="U23" s="114">
        <v>5.0622546604210082E-2</v>
      </c>
      <c r="V23" s="114">
        <v>1.8318278884244948E-2</v>
      </c>
      <c r="W23" s="114">
        <v>4.8594004039031094E-2</v>
      </c>
      <c r="X23" s="114">
        <v>7.9863493751908043E-2</v>
      </c>
      <c r="Y23" s="114">
        <v>0.59339195985943127</v>
      </c>
      <c r="Z23" s="114">
        <v>0.59339195985943127</v>
      </c>
      <c r="AA23" s="116">
        <v>9.4412462921229554E-2</v>
      </c>
    </row>
    <row r="24" spans="1:27">
      <c r="A24" s="112" t="s">
        <v>74</v>
      </c>
      <c r="B24" s="113">
        <v>324</v>
      </c>
      <c r="C24" s="114">
        <v>5.6422099236641224E-2</v>
      </c>
      <c r="D24" s="114">
        <v>0.12433811979973126</v>
      </c>
      <c r="E24" s="114">
        <v>8.5534691994121739E-2</v>
      </c>
      <c r="F24" s="114">
        <v>0.20381517830430806</v>
      </c>
      <c r="G24" s="115">
        <v>0.73250789558065488</v>
      </c>
      <c r="H24" s="115">
        <v>0.98923416899169192</v>
      </c>
      <c r="I24" s="114">
        <v>6.6279888133921452E-2</v>
      </c>
      <c r="J24" s="114">
        <v>0.23451037040077102</v>
      </c>
      <c r="K24" s="114">
        <v>2.8699999999999996E-2</v>
      </c>
      <c r="L24" s="114">
        <v>0.4032320075676552</v>
      </c>
      <c r="M24" s="114">
        <v>4.8102512570840208E-2</v>
      </c>
      <c r="N24" s="115">
        <v>0.79448694302188061</v>
      </c>
      <c r="O24" s="115">
        <v>1.8159464762698883</v>
      </c>
      <c r="P24" s="115">
        <v>10.243369841838692</v>
      </c>
      <c r="Q24" s="115">
        <v>14.178655182290706</v>
      </c>
      <c r="R24" s="115">
        <v>1.0856816986322737</v>
      </c>
      <c r="S24" s="115">
        <v>38.045900877776397</v>
      </c>
      <c r="T24" s="114">
        <v>-0.20773026042628404</v>
      </c>
      <c r="U24" s="114">
        <v>5.3396801858687851E-2</v>
      </c>
      <c r="V24" s="114">
        <v>2.9322671623944405E-2</v>
      </c>
      <c r="W24" s="114">
        <v>0.34756508034898165</v>
      </c>
      <c r="X24" s="114">
        <v>7.7385297903741823E-2</v>
      </c>
      <c r="Y24" s="114">
        <v>0.33957022768072453</v>
      </c>
      <c r="Z24" s="114">
        <v>0.33957022768072453</v>
      </c>
      <c r="AA24" s="116">
        <v>0.12451555409757133</v>
      </c>
    </row>
    <row r="25" spans="1:27">
      <c r="A25" s="112" t="s">
        <v>219</v>
      </c>
      <c r="B25" s="113">
        <v>1139</v>
      </c>
      <c r="C25" s="114">
        <v>0.24874885441527453</v>
      </c>
      <c r="D25" s="114">
        <v>6.2090736562745635E-2</v>
      </c>
      <c r="E25" s="114">
        <v>4.8520371222469147E-2</v>
      </c>
      <c r="F25" s="114">
        <v>0.13519785478395316</v>
      </c>
      <c r="G25" s="115">
        <v>0.96853947781291849</v>
      </c>
      <c r="H25" s="115">
        <v>0.98468010751053503</v>
      </c>
      <c r="I25" s="114">
        <v>6.6017574192606815E-2</v>
      </c>
      <c r="J25" s="114">
        <v>0.45626529096284685</v>
      </c>
      <c r="K25" s="114">
        <v>3.9480000000000001E-2</v>
      </c>
      <c r="L25" s="114">
        <v>9.8719964981670572E-2</v>
      </c>
      <c r="M25" s="114">
        <v>6.2379378397587615E-2</v>
      </c>
      <c r="N25" s="115">
        <v>0.48980970593293854</v>
      </c>
      <c r="O25" s="115">
        <v>10.37014698527021</v>
      </c>
      <c r="P25" s="115">
        <v>18.612858580057853</v>
      </c>
      <c r="Q25" s="115">
        <v>106.33980521815054</v>
      </c>
      <c r="R25" s="115">
        <v>7.2999715462707568</v>
      </c>
      <c r="S25" s="115">
        <v>547.8497415618034</v>
      </c>
      <c r="T25" s="114">
        <v>0.18818201472731777</v>
      </c>
      <c r="U25" s="114">
        <v>5.3017714675160095E-2</v>
      </c>
      <c r="V25" s="114">
        <v>0.3156280800304832</v>
      </c>
      <c r="W25" s="114">
        <v>15.404114494332054</v>
      </c>
      <c r="X25" s="114">
        <v>-4.3762485981236963E-2</v>
      </c>
      <c r="Y25" s="114">
        <v>3.0911094147499291E-3</v>
      </c>
      <c r="Z25" s="114">
        <v>3.0911094147498819E-3</v>
      </c>
      <c r="AA25" s="116">
        <v>0.10026016955868507</v>
      </c>
    </row>
    <row r="26" spans="1:27">
      <c r="A26" s="112" t="s">
        <v>220</v>
      </c>
      <c r="B26" s="113">
        <v>1319</v>
      </c>
      <c r="C26" s="114">
        <v>0.16983117021276595</v>
      </c>
      <c r="D26" s="114">
        <v>0.16853669271730168</v>
      </c>
      <c r="E26" s="114">
        <v>0.12495543650621611</v>
      </c>
      <c r="F26" s="114">
        <v>0.16971692757229118</v>
      </c>
      <c r="G26" s="115">
        <v>0.92571979144987038</v>
      </c>
      <c r="H26" s="115">
        <v>0.99657067504327113</v>
      </c>
      <c r="I26" s="114">
        <v>6.6702470882492412E-2</v>
      </c>
      <c r="J26" s="114">
        <v>0.3991727855676368</v>
      </c>
      <c r="K26" s="114">
        <v>3.5299999999999998E-2</v>
      </c>
      <c r="L26" s="114">
        <v>0.15009921470735643</v>
      </c>
      <c r="M26" s="114">
        <v>6.060448601761264E-2</v>
      </c>
      <c r="N26" s="115">
        <v>0.75596349788708983</v>
      </c>
      <c r="O26" s="115">
        <v>4.3834692879439086</v>
      </c>
      <c r="P26" s="115">
        <v>15.066080670816556</v>
      </c>
      <c r="Q26" s="115">
        <v>24.385692717357813</v>
      </c>
      <c r="R26" s="115">
        <v>3.8974323376359465</v>
      </c>
      <c r="S26" s="115">
        <v>78.513768471412689</v>
      </c>
      <c r="T26" s="114">
        <v>0.17082126261777686</v>
      </c>
      <c r="U26" s="114">
        <v>4.7018021944881555E-2</v>
      </c>
      <c r="V26" s="114">
        <v>5.0876169874615712E-2</v>
      </c>
      <c r="W26" s="114">
        <v>0.44042536242193581</v>
      </c>
      <c r="X26" s="114">
        <v>0.10897933255853319</v>
      </c>
      <c r="Y26" s="114">
        <v>0.82238944606113296</v>
      </c>
      <c r="Z26" s="114">
        <v>0.82238944606113296</v>
      </c>
      <c r="AA26" s="116">
        <v>0.18088395166223137</v>
      </c>
    </row>
    <row r="27" spans="1:27">
      <c r="A27" s="112" t="s">
        <v>221</v>
      </c>
      <c r="B27" s="113">
        <v>250</v>
      </c>
      <c r="C27" s="114">
        <v>0.12704097744360907</v>
      </c>
      <c r="D27" s="114">
        <v>7.2131753119042935E-2</v>
      </c>
      <c r="E27" s="114">
        <v>7.5526840454570712E-2</v>
      </c>
      <c r="F27" s="114">
        <v>0.19574051846959023</v>
      </c>
      <c r="G27" s="115">
        <v>0.94994619071920761</v>
      </c>
      <c r="H27" s="115">
        <v>0.97738627590488714</v>
      </c>
      <c r="I27" s="114">
        <v>6.5597449492121498E-2</v>
      </c>
      <c r="J27" s="114">
        <v>0.32663572682842823</v>
      </c>
      <c r="K27" s="114">
        <v>3.5299999999999998E-2</v>
      </c>
      <c r="L27" s="114">
        <v>0.12578498956409234</v>
      </c>
      <c r="M27" s="114">
        <v>6.0626258216546047E-2</v>
      </c>
      <c r="N27" s="115">
        <v>1.0923545764525615</v>
      </c>
      <c r="O27" s="115">
        <v>4.8768075279836705</v>
      </c>
      <c r="P27" s="115">
        <v>23.878787288397817</v>
      </c>
      <c r="Q27" s="115">
        <v>58.552180606140766</v>
      </c>
      <c r="R27" s="115">
        <v>4.8446548222426919</v>
      </c>
      <c r="S27" s="115">
        <v>58.531703097921692</v>
      </c>
      <c r="T27" s="114">
        <v>2.188975227689002E-2</v>
      </c>
      <c r="U27" s="114">
        <v>6.5031085630566504E-2</v>
      </c>
      <c r="V27" s="114">
        <v>6.5653008884506758E-2</v>
      </c>
      <c r="W27" s="114">
        <v>1.3104919746550734</v>
      </c>
      <c r="X27" s="114">
        <v>-2.804382309882154E-3</v>
      </c>
      <c r="Y27" s="114">
        <v>6.523303783484505E-3</v>
      </c>
      <c r="Z27" s="114">
        <v>6.5233037834845353E-3</v>
      </c>
      <c r="AA27" s="116">
        <v>7.7552555577409421E-2</v>
      </c>
    </row>
    <row r="28" spans="1:27">
      <c r="A28" s="112" t="s">
        <v>75</v>
      </c>
      <c r="B28" s="113">
        <v>950</v>
      </c>
      <c r="C28" s="114">
        <v>6.3008890675241111E-2</v>
      </c>
      <c r="D28" s="114">
        <v>5.6852609761771228E-2</v>
      </c>
      <c r="E28" s="114">
        <v>8.1676275515389682E-2</v>
      </c>
      <c r="F28" s="114">
        <v>0.20785023241521311</v>
      </c>
      <c r="G28" s="115">
        <v>1.0579135270894295</v>
      </c>
      <c r="H28" s="115">
        <v>1.0879948514578053</v>
      </c>
      <c r="I28" s="114">
        <v>7.1968503443969586E-2</v>
      </c>
      <c r="J28" s="114">
        <v>0.32303029790442339</v>
      </c>
      <c r="K28" s="114">
        <v>3.5299999999999998E-2</v>
      </c>
      <c r="L28" s="114">
        <v>0.13585721813792845</v>
      </c>
      <c r="M28" s="114">
        <v>6.5733690536980569E-2</v>
      </c>
      <c r="N28" s="115">
        <v>1.5372083965326797</v>
      </c>
      <c r="O28" s="115">
        <v>2.3402953125293577</v>
      </c>
      <c r="P28" s="115">
        <v>20.354938143376994</v>
      </c>
      <c r="Q28" s="115">
        <v>36.590130464451114</v>
      </c>
      <c r="R28" s="115">
        <v>3.3101473810447177</v>
      </c>
      <c r="S28" s="115">
        <v>71.441479180136341</v>
      </c>
      <c r="T28" s="114">
        <v>0.23327615141193275</v>
      </c>
      <c r="U28" s="114">
        <v>4.8247156140550231E-2</v>
      </c>
      <c r="V28" s="114">
        <v>3.4684790481956412E-2</v>
      </c>
      <c r="W28" s="114">
        <v>0.54820858518987137</v>
      </c>
      <c r="X28" s="114">
        <v>6.6250105106724314E-2</v>
      </c>
      <c r="Y28" s="114">
        <v>0.66747178952674124</v>
      </c>
      <c r="Z28" s="114">
        <v>0.66747178952674124</v>
      </c>
      <c r="AA28" s="116">
        <v>5.9884377848851741E-2</v>
      </c>
    </row>
    <row r="29" spans="1:27">
      <c r="A29" s="112" t="s">
        <v>76</v>
      </c>
      <c r="B29" s="113">
        <v>142</v>
      </c>
      <c r="C29" s="114">
        <v>8.1176923076922997E-3</v>
      </c>
      <c r="D29" s="114">
        <v>4.8278815135258141E-2</v>
      </c>
      <c r="E29" s="114">
        <v>7.205652394224428E-2</v>
      </c>
      <c r="F29" s="114">
        <v>9.7516731245552851E-2</v>
      </c>
      <c r="G29" s="115">
        <v>1.1451093729622841</v>
      </c>
      <c r="H29" s="115">
        <v>1.2232666801248744</v>
      </c>
      <c r="I29" s="114">
        <v>7.9760160775192768E-2</v>
      </c>
      <c r="J29" s="114">
        <v>0.34394965103557618</v>
      </c>
      <c r="K29" s="114">
        <v>3.5299999999999998E-2</v>
      </c>
      <c r="L29" s="114">
        <v>0.23944913896642778</v>
      </c>
      <c r="M29" s="114">
        <v>6.6905561040842873E-2</v>
      </c>
      <c r="N29" s="115">
        <v>1.5664643247494714</v>
      </c>
      <c r="O29" s="115">
        <v>1.0773828965113874</v>
      </c>
      <c r="P29" s="115">
        <v>11.497667691691621</v>
      </c>
      <c r="Q29" s="115">
        <v>21.323618694899746</v>
      </c>
      <c r="R29" s="115">
        <v>2.0661965403358313</v>
      </c>
      <c r="S29" s="115">
        <v>46.43510074669959</v>
      </c>
      <c r="T29" s="114">
        <v>-8.4528108991364509E-3</v>
      </c>
      <c r="U29" s="114">
        <v>5.5181827278201354E-2</v>
      </c>
      <c r="V29" s="114">
        <v>3.7719846921732664E-2</v>
      </c>
      <c r="W29" s="114">
        <v>0.7548371951620465</v>
      </c>
      <c r="X29" s="114">
        <v>0.12116348626652564</v>
      </c>
      <c r="Y29" s="114">
        <v>0.23661088651545462</v>
      </c>
      <c r="Z29" s="114">
        <v>0.23661088651545459</v>
      </c>
      <c r="AA29" s="116">
        <v>5.0957460160285552E-2</v>
      </c>
    </row>
    <row r="30" spans="1:27">
      <c r="A30" s="112" t="s">
        <v>222</v>
      </c>
      <c r="B30" s="113">
        <v>1387</v>
      </c>
      <c r="C30" s="114">
        <v>5.0390326732673289E-2</v>
      </c>
      <c r="D30" s="114">
        <v>6.1342235854791552E-2</v>
      </c>
      <c r="E30" s="114">
        <v>8.6881647086074792E-2</v>
      </c>
      <c r="F30" s="114">
        <v>0.20994618893740422</v>
      </c>
      <c r="G30" s="115">
        <v>1.2454565864733256</v>
      </c>
      <c r="H30" s="115">
        <v>1.2443153031203971</v>
      </c>
      <c r="I30" s="114">
        <v>8.0972561459734874E-2</v>
      </c>
      <c r="J30" s="114">
        <v>0.31036294425684963</v>
      </c>
      <c r="K30" s="114">
        <v>3.5299999999999998E-2</v>
      </c>
      <c r="L30" s="114">
        <v>0.12690751313957163</v>
      </c>
      <c r="M30" s="114">
        <v>7.4005789324792723E-2</v>
      </c>
      <c r="N30" s="115">
        <v>1.5158138320632371</v>
      </c>
      <c r="O30" s="115">
        <v>1.8913312732412311</v>
      </c>
      <c r="P30" s="115">
        <v>16.689991322975818</v>
      </c>
      <c r="Q30" s="115">
        <v>29.746316242580836</v>
      </c>
      <c r="R30" s="115">
        <v>2.9647995193624102</v>
      </c>
      <c r="S30" s="115">
        <v>85.413068323606652</v>
      </c>
      <c r="T30" s="114">
        <v>0.17577548317404054</v>
      </c>
      <c r="U30" s="114">
        <v>5.975750426334641E-2</v>
      </c>
      <c r="V30" s="114">
        <v>4.4691136935935141E-2</v>
      </c>
      <c r="W30" s="114">
        <v>1.0368999529833396</v>
      </c>
      <c r="X30" s="114">
        <v>6.8107459281812763E-2</v>
      </c>
      <c r="Y30" s="114">
        <v>0.59835275240457242</v>
      </c>
      <c r="Z30" s="114">
        <v>0.59835275240457242</v>
      </c>
      <c r="AA30" s="116">
        <v>6.4820955394217547E-2</v>
      </c>
    </row>
    <row r="31" spans="1:27">
      <c r="A31" s="112" t="s">
        <v>223</v>
      </c>
      <c r="B31" s="113">
        <v>1263</v>
      </c>
      <c r="C31" s="114">
        <v>3.7295628140703509E-2</v>
      </c>
      <c r="D31" s="114">
        <v>4.9304619831453879E-2</v>
      </c>
      <c r="E31" s="114">
        <v>8.8906412537391316E-2</v>
      </c>
      <c r="F31" s="114">
        <v>0.25896414975609133</v>
      </c>
      <c r="G31" s="115">
        <v>0.76675383770170491</v>
      </c>
      <c r="H31" s="115">
        <v>1.0397204401367581</v>
      </c>
      <c r="I31" s="114">
        <v>6.9187897351877262E-2</v>
      </c>
      <c r="J31" s="114">
        <v>0.29240085762704454</v>
      </c>
      <c r="K31" s="114">
        <v>3.5299999999999998E-2</v>
      </c>
      <c r="L31" s="114">
        <v>0.49910757360012159</v>
      </c>
      <c r="M31" s="114">
        <v>4.7670477773117385E-2</v>
      </c>
      <c r="N31" s="115">
        <v>2.015523697242366</v>
      </c>
      <c r="O31" s="115">
        <v>0.60276547552377335</v>
      </c>
      <c r="P31" s="115">
        <v>8.2208073594692692</v>
      </c>
      <c r="Q31" s="115">
        <v>11.639582527367274</v>
      </c>
      <c r="R31" s="115">
        <v>0.99480011040100902</v>
      </c>
      <c r="S31" s="115">
        <v>52.359156800334404</v>
      </c>
      <c r="T31" s="114">
        <v>0.16221290140247865</v>
      </c>
      <c r="U31" s="114">
        <v>3.5168349771354322E-2</v>
      </c>
      <c r="V31" s="114">
        <v>2.8834079349742761E-2</v>
      </c>
      <c r="W31" s="114">
        <v>1.2978074837439155</v>
      </c>
      <c r="X31" s="114">
        <v>7.889668580581656E-2</v>
      </c>
      <c r="Y31" s="114">
        <v>0.62951325192642515</v>
      </c>
      <c r="Z31" s="114">
        <v>0.62951325192642515</v>
      </c>
      <c r="AA31" s="116">
        <v>5.2065500419520849E-2</v>
      </c>
    </row>
    <row r="32" spans="1:27">
      <c r="A32" s="112" t="s">
        <v>77</v>
      </c>
      <c r="B32" s="113">
        <v>725</v>
      </c>
      <c r="C32" s="114">
        <v>8.470911917098442E-2</v>
      </c>
      <c r="D32" s="114">
        <v>7.7100948431442745E-2</v>
      </c>
      <c r="E32" s="114">
        <v>8.7514870061003849E-2</v>
      </c>
      <c r="F32" s="114">
        <v>0.15404275789668376</v>
      </c>
      <c r="G32" s="115">
        <v>1.040905952611656</v>
      </c>
      <c r="H32" s="115">
        <v>1.0712915032145511</v>
      </c>
      <c r="I32" s="114">
        <v>7.1006390585158147E-2</v>
      </c>
      <c r="J32" s="114">
        <v>0.39451893814144784</v>
      </c>
      <c r="K32" s="114">
        <v>3.5299999999999998E-2</v>
      </c>
      <c r="L32" s="114">
        <v>0.1153220291715905</v>
      </c>
      <c r="M32" s="114">
        <v>6.5824939456828796E-2</v>
      </c>
      <c r="N32" s="115">
        <v>1.1594694268534209</v>
      </c>
      <c r="O32" s="115">
        <v>5.4348748974472016</v>
      </c>
      <c r="P32" s="115">
        <v>26.537136907432146</v>
      </c>
      <c r="Q32" s="115">
        <v>58.662404873260158</v>
      </c>
      <c r="R32" s="115">
        <v>4.6180858715348405</v>
      </c>
      <c r="S32" s="115">
        <v>128.44246118947501</v>
      </c>
      <c r="T32" s="114">
        <v>1.7942437602176023E-2</v>
      </c>
      <c r="U32" s="114">
        <v>4.2655671576591753E-2</v>
      </c>
      <c r="V32" s="114">
        <v>9.3494386894196497E-3</v>
      </c>
      <c r="W32" s="114">
        <v>0.15875638267781322</v>
      </c>
      <c r="X32" s="114">
        <v>-1.271993149832526E-2</v>
      </c>
      <c r="Y32" s="114">
        <v>2.1256264085103057E-3</v>
      </c>
      <c r="Z32" s="114">
        <v>2.1256264085103282E-3</v>
      </c>
      <c r="AA32" s="116">
        <v>8.042779146316989E-2</v>
      </c>
    </row>
    <row r="33" spans="1:27">
      <c r="A33" s="112" t="s">
        <v>78</v>
      </c>
      <c r="B33" s="113">
        <v>344</v>
      </c>
      <c r="C33" s="114">
        <v>9.8499375000000014E-2</v>
      </c>
      <c r="D33" s="114">
        <v>0.10326787383667504</v>
      </c>
      <c r="E33" s="114">
        <v>0.11623827276818133</v>
      </c>
      <c r="F33" s="114">
        <v>0.21080225234559513</v>
      </c>
      <c r="G33" s="115">
        <v>0.86790192836023594</v>
      </c>
      <c r="H33" s="115">
        <v>1.0140033069350232</v>
      </c>
      <c r="I33" s="114">
        <v>6.7706590479457332E-2</v>
      </c>
      <c r="J33" s="114">
        <v>0.35246919311609709</v>
      </c>
      <c r="K33" s="114">
        <v>3.5299999999999998E-2</v>
      </c>
      <c r="L33" s="114">
        <v>0.24776005942461762</v>
      </c>
      <c r="M33" s="114">
        <v>5.7392220161991594E-2</v>
      </c>
      <c r="N33" s="115">
        <v>1.2571207546733698</v>
      </c>
      <c r="O33" s="115">
        <v>2.7959298193754965</v>
      </c>
      <c r="P33" s="115">
        <v>14.656568648465615</v>
      </c>
      <c r="Q33" s="115">
        <v>26.157079707773701</v>
      </c>
      <c r="R33" s="115">
        <v>3.1447483955142239</v>
      </c>
      <c r="S33" s="115">
        <v>86.822272409236035</v>
      </c>
      <c r="T33" s="114">
        <v>0.11383407503502893</v>
      </c>
      <c r="U33" s="114">
        <v>9.8730797546295712E-2</v>
      </c>
      <c r="V33" s="114">
        <v>6.5891145365904916E-2</v>
      </c>
      <c r="W33" s="114">
        <v>1.0994698185737106</v>
      </c>
      <c r="X33" s="114">
        <v>5.7827722658337952E-2</v>
      </c>
      <c r="Y33" s="114">
        <v>0.93627634710539465</v>
      </c>
      <c r="Z33" s="114">
        <v>0.93627634710539465</v>
      </c>
      <c r="AA33" s="116">
        <v>0.10445466044930429</v>
      </c>
    </row>
    <row r="34" spans="1:27">
      <c r="A34" s="112" t="s">
        <v>79</v>
      </c>
      <c r="B34" s="113">
        <v>410</v>
      </c>
      <c r="C34" s="114">
        <v>6.194767361111108E-2</v>
      </c>
      <c r="D34" s="114">
        <v>6.7614463895848131E-2</v>
      </c>
      <c r="E34" s="114">
        <v>7.4183442309023379E-2</v>
      </c>
      <c r="F34" s="114">
        <v>0.19350964755693048</v>
      </c>
      <c r="G34" s="115">
        <v>0.70773444118369322</v>
      </c>
      <c r="H34" s="115">
        <v>0.89360531866188975</v>
      </c>
      <c r="I34" s="114">
        <v>6.0771666354924841E-2</v>
      </c>
      <c r="J34" s="114">
        <v>0.30717166214933039</v>
      </c>
      <c r="K34" s="114">
        <v>3.5299999999999998E-2</v>
      </c>
      <c r="L34" s="114">
        <v>0.31685744471309574</v>
      </c>
      <c r="M34" s="114">
        <v>4.9778121025404146E-2</v>
      </c>
      <c r="N34" s="115">
        <v>1.2219439380942514</v>
      </c>
      <c r="O34" s="115">
        <v>1.4468366889108679</v>
      </c>
      <c r="P34" s="115">
        <v>14.105661693067541</v>
      </c>
      <c r="Q34" s="115">
        <v>20.684220239893335</v>
      </c>
      <c r="R34" s="115">
        <v>2.301113053186465</v>
      </c>
      <c r="S34" s="115">
        <v>50.260831587171047</v>
      </c>
      <c r="T34" s="114">
        <v>0.15490728976047841</v>
      </c>
      <c r="U34" s="114">
        <v>5.80168189215617E-2</v>
      </c>
      <c r="V34" s="114">
        <v>3.6775287398929934E-2</v>
      </c>
      <c r="W34" s="114">
        <v>0.5379964376059525</v>
      </c>
      <c r="X34" s="114">
        <v>9.4518908378344133E-2</v>
      </c>
      <c r="Y34" s="114">
        <v>0.40754280163089707</v>
      </c>
      <c r="Z34" s="114">
        <v>0.40754280163089707</v>
      </c>
      <c r="AA34" s="116">
        <v>6.8790248483328389E-2</v>
      </c>
    </row>
    <row r="35" spans="1:27">
      <c r="A35" s="112" t="s">
        <v>80</v>
      </c>
      <c r="B35" s="113">
        <v>1096</v>
      </c>
      <c r="C35" s="114">
        <v>8.9804894810659203E-2</v>
      </c>
      <c r="D35" s="114">
        <v>9.1703478771580568E-2</v>
      </c>
      <c r="E35" s="114">
        <v>5.192044272108589E-3</v>
      </c>
      <c r="F35" s="114">
        <v>0.18413512117724837</v>
      </c>
      <c r="G35" s="115">
        <v>0.16420934370708237</v>
      </c>
      <c r="H35" s="115">
        <v>0.80469436737828548</v>
      </c>
      <c r="I35" s="114">
        <v>5.5650395560989246E-2</v>
      </c>
      <c r="J35" s="114">
        <v>0.29683347769977464</v>
      </c>
      <c r="K35" s="114">
        <v>3.5299999999999998E-2</v>
      </c>
      <c r="L35" s="114">
        <v>0.85720753477971157</v>
      </c>
      <c r="M35" s="114">
        <v>3.0299095142382437E-2</v>
      </c>
      <c r="N35" s="115">
        <v>6.6212056583994192E-2</v>
      </c>
      <c r="O35" s="115">
        <v>17.207044491329235</v>
      </c>
      <c r="P35" s="115">
        <v>113.75739635310738</v>
      </c>
      <c r="Q35" s="115">
        <v>154.76750093060386</v>
      </c>
      <c r="R35" s="115">
        <v>1.4189051169891547</v>
      </c>
      <c r="S35" s="115">
        <v>67.242738833780436</v>
      </c>
      <c r="T35" s="114" t="s">
        <v>160</v>
      </c>
      <c r="U35" s="114">
        <v>5.9113666863356923E-2</v>
      </c>
      <c r="V35" s="114">
        <v>8.108812194805326E-2</v>
      </c>
      <c r="W35" s="114">
        <v>1.1718657109301276</v>
      </c>
      <c r="X35" s="114">
        <v>0.1395851811891469</v>
      </c>
      <c r="Y35" s="114">
        <v>0.27979347061329601</v>
      </c>
      <c r="Z35" s="114">
        <v>0.27979347061329607</v>
      </c>
      <c r="AA35" s="116">
        <v>9.1363360416340841E-2</v>
      </c>
    </row>
    <row r="36" spans="1:27">
      <c r="A36" s="112" t="s">
        <v>81</v>
      </c>
      <c r="B36" s="113">
        <v>1322</v>
      </c>
      <c r="C36" s="114">
        <v>7.0594653148345787E-2</v>
      </c>
      <c r="D36" s="114">
        <v>9.4159289151642109E-2</v>
      </c>
      <c r="E36" s="114">
        <v>0.13966565184178689</v>
      </c>
      <c r="F36" s="114">
        <v>0.21667817241269927</v>
      </c>
      <c r="G36" s="115">
        <v>0.70733018925052682</v>
      </c>
      <c r="H36" s="115">
        <v>0.78455022333554747</v>
      </c>
      <c r="I36" s="114">
        <v>5.4490092864127537E-2</v>
      </c>
      <c r="J36" s="114">
        <v>0.26947012384238073</v>
      </c>
      <c r="K36" s="114">
        <v>3.5299999999999998E-2</v>
      </c>
      <c r="L36" s="114">
        <v>0.18922377423490769</v>
      </c>
      <c r="M36" s="114">
        <v>4.911349178553133E-2</v>
      </c>
      <c r="N36" s="115">
        <v>1.7218024356757367</v>
      </c>
      <c r="O36" s="115">
        <v>1.869758031832264</v>
      </c>
      <c r="P36" s="115">
        <v>14.141587050804027</v>
      </c>
      <c r="Q36" s="115">
        <v>19.484294866563495</v>
      </c>
      <c r="R36" s="115">
        <v>3.0348116065211279</v>
      </c>
      <c r="S36" s="115">
        <v>72.323406940194133</v>
      </c>
      <c r="T36" s="114">
        <v>9.3352848715996722E-2</v>
      </c>
      <c r="U36" s="114">
        <v>4.6826225415303298E-2</v>
      </c>
      <c r="V36" s="114">
        <v>3.1400103135745858E-2</v>
      </c>
      <c r="W36" s="114">
        <v>0.44803841684065737</v>
      </c>
      <c r="X36" s="114">
        <v>0.13027600894669486</v>
      </c>
      <c r="Y36" s="114">
        <v>0.47239492007148565</v>
      </c>
      <c r="Z36" s="114">
        <v>0.47239492007148565</v>
      </c>
      <c r="AA36" s="116">
        <v>9.4807121987083701E-2</v>
      </c>
    </row>
    <row r="37" spans="1:27">
      <c r="A37" s="112" t="s">
        <v>82</v>
      </c>
      <c r="B37" s="113">
        <v>155</v>
      </c>
      <c r="C37" s="114">
        <v>4.7613571428571443E-2</v>
      </c>
      <c r="D37" s="114">
        <v>1.8836296708560765E-2</v>
      </c>
      <c r="E37" s="114">
        <v>7.6941324303874306E-2</v>
      </c>
      <c r="F37" s="114">
        <v>0.24769059632810453</v>
      </c>
      <c r="G37" s="115">
        <v>0.54166639689738061</v>
      </c>
      <c r="H37" s="115">
        <v>0.75527873410851398</v>
      </c>
      <c r="I37" s="114">
        <v>5.28040550846504E-2</v>
      </c>
      <c r="J37" s="114">
        <v>0.3009347792549209</v>
      </c>
      <c r="K37" s="114">
        <v>3.5299999999999998E-2</v>
      </c>
      <c r="L37" s="114">
        <v>0.44072280239557132</v>
      </c>
      <c r="M37" s="114">
        <v>4.1024440224668335E-2</v>
      </c>
      <c r="N37" s="115">
        <v>4.7741072926192594</v>
      </c>
      <c r="O37" s="115">
        <v>0.44679779171562761</v>
      </c>
      <c r="P37" s="115">
        <v>12.840125372920806</v>
      </c>
      <c r="Q37" s="115">
        <v>23.741133675188834</v>
      </c>
      <c r="R37" s="115">
        <v>2.0698104807238042</v>
      </c>
      <c r="S37" s="115">
        <v>43.341589180279904</v>
      </c>
      <c r="T37" s="114">
        <v>4.3030588745050759E-2</v>
      </c>
      <c r="U37" s="114">
        <v>1.326533283554843E-2</v>
      </c>
      <c r="V37" s="114">
        <v>1.6426556508702735E-2</v>
      </c>
      <c r="W37" s="114">
        <v>0.68534718450929188</v>
      </c>
      <c r="X37" s="114">
        <v>1.5973162534866574E-2</v>
      </c>
      <c r="Y37" s="114">
        <v>3.0430782041658815</v>
      </c>
      <c r="Z37" s="114">
        <v>3.0430782041658815</v>
      </c>
      <c r="AA37" s="116">
        <v>1.8561170869412665E-2</v>
      </c>
    </row>
    <row r="38" spans="1:27">
      <c r="A38" s="112" t="s">
        <v>83</v>
      </c>
      <c r="B38" s="113">
        <v>357</v>
      </c>
      <c r="C38" s="114">
        <v>4.7406903765690386E-2</v>
      </c>
      <c r="D38" s="114">
        <v>7.1598923548386192E-2</v>
      </c>
      <c r="E38" s="114">
        <v>0.14948321057057429</v>
      </c>
      <c r="F38" s="114">
        <v>0.18096652473002495</v>
      </c>
      <c r="G38" s="115">
        <v>1.0241862469995968</v>
      </c>
      <c r="H38" s="115">
        <v>1.0122029505682673</v>
      </c>
      <c r="I38" s="114">
        <v>6.7602889952732198E-2</v>
      </c>
      <c r="J38" s="114">
        <v>0.28093293789259449</v>
      </c>
      <c r="K38" s="114">
        <v>3.5299999999999998E-2</v>
      </c>
      <c r="L38" s="114">
        <v>0.1493232870393652</v>
      </c>
      <c r="M38" s="114">
        <v>6.1401974670029814E-2</v>
      </c>
      <c r="N38" s="115">
        <v>2.3687307251840988</v>
      </c>
      <c r="O38" s="115">
        <v>1.677304280258096</v>
      </c>
      <c r="P38" s="115">
        <v>15.593919289334458</v>
      </c>
      <c r="Q38" s="115">
        <v>22.641560665659384</v>
      </c>
      <c r="R38" s="115">
        <v>3.6072382991315286</v>
      </c>
      <c r="S38" s="115">
        <v>40.274180767288819</v>
      </c>
      <c r="T38" s="114">
        <v>4.1564176975050701E-2</v>
      </c>
      <c r="U38" s="114">
        <v>3.4304214057021505E-2</v>
      </c>
      <c r="V38" s="114">
        <v>1.546938021201274E-2</v>
      </c>
      <c r="W38" s="114">
        <v>-6.3693368108658013E-2</v>
      </c>
      <c r="X38" s="114">
        <v>0.11898775988900899</v>
      </c>
      <c r="Y38" s="114">
        <v>0.58732839173015261</v>
      </c>
      <c r="Z38" s="114">
        <v>0.58732839173015261</v>
      </c>
      <c r="AA38" s="116">
        <v>7.4036766614085717E-2</v>
      </c>
    </row>
    <row r="39" spans="1:27">
      <c r="A39" s="112" t="s">
        <v>224</v>
      </c>
      <c r="B39" s="113">
        <v>226</v>
      </c>
      <c r="C39" s="114">
        <v>0.12060146551724132</v>
      </c>
      <c r="D39" s="114">
        <v>0.34366154402061933</v>
      </c>
      <c r="E39" s="114">
        <v>7.2304073500917096E-2</v>
      </c>
      <c r="F39" s="114">
        <v>0.16204325520177662</v>
      </c>
      <c r="G39" s="115">
        <v>0.69347420092092471</v>
      </c>
      <c r="H39" s="115">
        <v>0.9463745341990184</v>
      </c>
      <c r="I39" s="114">
        <v>6.3811173169863455E-2</v>
      </c>
      <c r="J39" s="114">
        <v>0.31149159758587369</v>
      </c>
      <c r="K39" s="114">
        <v>3.5299999999999998E-2</v>
      </c>
      <c r="L39" s="114">
        <v>0.35726986597488691</v>
      </c>
      <c r="M39" s="114">
        <v>5.032957220861245E-2</v>
      </c>
      <c r="N39" s="115">
        <v>0.23543529419647849</v>
      </c>
      <c r="O39" s="115">
        <v>8.9716718332252796</v>
      </c>
      <c r="P39" s="115">
        <v>15.684857834720361</v>
      </c>
      <c r="Q39" s="115">
        <v>25.873765615835435</v>
      </c>
      <c r="R39" s="115">
        <v>2.121699539751118</v>
      </c>
      <c r="S39" s="115">
        <v>194.24387539612789</v>
      </c>
      <c r="T39" s="114">
        <v>6.8570810341834459E-2</v>
      </c>
      <c r="U39" s="114">
        <v>0.27230306061314391</v>
      </c>
      <c r="V39" s="114">
        <v>0.16008202027903226</v>
      </c>
      <c r="W39" s="114">
        <v>0.69273524639491069</v>
      </c>
      <c r="X39" s="114">
        <v>7.25009138274475E-2</v>
      </c>
      <c r="Y39" s="114">
        <v>1.0712287482913938</v>
      </c>
      <c r="Z39" s="114">
        <v>1.0712287482913938</v>
      </c>
      <c r="AA39" s="116">
        <v>0.34260304920099577</v>
      </c>
    </row>
    <row r="40" spans="1:27">
      <c r="A40" s="112" t="s">
        <v>84</v>
      </c>
      <c r="B40" s="113">
        <v>816</v>
      </c>
      <c r="C40" s="114">
        <v>0.12113916666666663</v>
      </c>
      <c r="D40" s="114">
        <v>0.14470585468073399</v>
      </c>
      <c r="E40" s="114">
        <v>0.13144364062566824</v>
      </c>
      <c r="F40" s="114">
        <v>0.1635127416209039</v>
      </c>
      <c r="G40" s="115">
        <v>0.92842368572909717</v>
      </c>
      <c r="H40" s="115">
        <v>0.95776195537525133</v>
      </c>
      <c r="I40" s="114">
        <v>6.4467088629614477E-2</v>
      </c>
      <c r="J40" s="114">
        <v>0.38315666611808902</v>
      </c>
      <c r="K40" s="114">
        <v>3.5299999999999998E-2</v>
      </c>
      <c r="L40" s="114">
        <v>8.867851486125819E-2</v>
      </c>
      <c r="M40" s="114">
        <v>6.1062633660669968E-2</v>
      </c>
      <c r="N40" s="115">
        <v>0.96499602987005151</v>
      </c>
      <c r="O40" s="115">
        <v>6.5061485005422819</v>
      </c>
      <c r="P40" s="115">
        <v>27.021818133579821</v>
      </c>
      <c r="Q40" s="115">
        <v>42.652328601369675</v>
      </c>
      <c r="R40" s="115">
        <v>5.4787511018749306</v>
      </c>
      <c r="S40" s="115">
        <v>421.86898869093397</v>
      </c>
      <c r="T40" s="114">
        <v>0.25020679567499082</v>
      </c>
      <c r="U40" s="114">
        <v>5.2501657588237008E-2</v>
      </c>
      <c r="V40" s="114">
        <v>7.8610551961965855E-2</v>
      </c>
      <c r="W40" s="114">
        <v>0.78363793859484443</v>
      </c>
      <c r="X40" s="114">
        <v>0.1055608332907397</v>
      </c>
      <c r="Y40" s="114">
        <v>0.3716695215235935</v>
      </c>
      <c r="Z40" s="114">
        <v>0.37166952152359345</v>
      </c>
      <c r="AA40" s="116">
        <v>0.14678848552962961</v>
      </c>
    </row>
    <row r="41" spans="1:27">
      <c r="A41" s="112" t="s">
        <v>225</v>
      </c>
      <c r="B41" s="113">
        <v>413</v>
      </c>
      <c r="C41" s="114">
        <v>0.12889150442477879</v>
      </c>
      <c r="D41" s="114">
        <v>5.01541588809329E-2</v>
      </c>
      <c r="E41" s="114">
        <v>0.26554555029460702</v>
      </c>
      <c r="F41" s="114">
        <v>0.24082720013969547</v>
      </c>
      <c r="G41" s="115">
        <v>0.7551857751051636</v>
      </c>
      <c r="H41" s="115">
        <v>0.87059608465775995</v>
      </c>
      <c r="I41" s="114">
        <v>5.9446334476286972E-2</v>
      </c>
      <c r="J41" s="114">
        <v>0.33201490923083948</v>
      </c>
      <c r="K41" s="114">
        <v>3.5299999999999998E-2</v>
      </c>
      <c r="L41" s="114">
        <v>0.24769890907542982</v>
      </c>
      <c r="M41" s="114">
        <v>5.1180566277908478E-2</v>
      </c>
      <c r="N41" s="115">
        <v>6.2437594389612219</v>
      </c>
      <c r="O41" s="115">
        <v>0.72846893921980316</v>
      </c>
      <c r="P41" s="115">
        <v>10.847079800290684</v>
      </c>
      <c r="Q41" s="115">
        <v>14.31169370730497</v>
      </c>
      <c r="R41" s="115">
        <v>2.6446384411468586</v>
      </c>
      <c r="S41" s="115">
        <v>86.375216265704736</v>
      </c>
      <c r="T41" s="114">
        <v>-1.6850830279399608E-2</v>
      </c>
      <c r="U41" s="114">
        <v>9.9054606567222838E-3</v>
      </c>
      <c r="V41" s="114">
        <v>8.3521455232424217E-3</v>
      </c>
      <c r="W41" s="114">
        <v>0.21963153396471125</v>
      </c>
      <c r="X41" s="114">
        <v>0.14369234144227325</v>
      </c>
      <c r="Y41" s="114">
        <v>0.29270521401394722</v>
      </c>
      <c r="Z41" s="114">
        <v>0.29270521401394722</v>
      </c>
      <c r="AA41" s="116">
        <v>4.9236607147722204E-2</v>
      </c>
    </row>
    <row r="42" spans="1:27">
      <c r="A42" s="112" t="s">
        <v>85</v>
      </c>
      <c r="B42" s="113">
        <v>423</v>
      </c>
      <c r="C42" s="114">
        <v>0.15792810256410247</v>
      </c>
      <c r="D42" s="114">
        <v>0.12879983127276839</v>
      </c>
      <c r="E42" s="114">
        <v>0.14923014613029265</v>
      </c>
      <c r="F42" s="114">
        <v>0.17031472234355802</v>
      </c>
      <c r="G42" s="115">
        <v>0.97133553640995995</v>
      </c>
      <c r="H42" s="115">
        <v>0.99724176939554721</v>
      </c>
      <c r="I42" s="114">
        <v>6.6741125917183522E-2</v>
      </c>
      <c r="J42" s="114">
        <v>0.40100567320191943</v>
      </c>
      <c r="K42" s="114">
        <v>3.9480000000000001E-2</v>
      </c>
      <c r="L42" s="114">
        <v>7.7369118461133216E-2</v>
      </c>
      <c r="M42" s="114">
        <v>6.383380721689734E-2</v>
      </c>
      <c r="N42" s="115">
        <v>1.1849469547433327</v>
      </c>
      <c r="O42" s="115">
        <v>8.6604729945663514</v>
      </c>
      <c r="P42" s="115">
        <v>36.657104653599021</v>
      </c>
      <c r="Q42" s="115">
        <v>61.783658140615152</v>
      </c>
      <c r="R42" s="115">
        <v>8.0843437883825775</v>
      </c>
      <c r="S42" s="115">
        <v>117.84884991076231</v>
      </c>
      <c r="T42" s="114">
        <v>0.22069259313751519</v>
      </c>
      <c r="U42" s="114">
        <v>5.5280843453930119E-2</v>
      </c>
      <c r="V42" s="114">
        <v>2.7834840879121029E-2</v>
      </c>
      <c r="W42" s="114">
        <v>0.40648092120088497</v>
      </c>
      <c r="X42" s="114">
        <v>0.12878899822363232</v>
      </c>
      <c r="Y42" s="114">
        <v>0.14170023353348848</v>
      </c>
      <c r="Z42" s="114">
        <v>0.14170023353348848</v>
      </c>
      <c r="AA42" s="116">
        <v>0.13464518789154892</v>
      </c>
    </row>
    <row r="43" spans="1:27">
      <c r="A43" s="112" t="s">
        <v>86</v>
      </c>
      <c r="B43" s="113">
        <v>167</v>
      </c>
      <c r="C43" s="114">
        <v>6.433782945736434E-2</v>
      </c>
      <c r="D43" s="114">
        <v>0.10443997100670073</v>
      </c>
      <c r="E43" s="114">
        <v>9.5042630180982385E-2</v>
      </c>
      <c r="F43" s="114">
        <v>0.22592952506397226</v>
      </c>
      <c r="G43" s="115">
        <v>1.1582984240163801</v>
      </c>
      <c r="H43" s="115">
        <v>1.3074955260239107</v>
      </c>
      <c r="I43" s="114">
        <v>8.4611742298977263E-2</v>
      </c>
      <c r="J43" s="114">
        <v>0.28332874115885343</v>
      </c>
      <c r="K43" s="114">
        <v>3.5299999999999998E-2</v>
      </c>
      <c r="L43" s="114">
        <v>0.29013517792642241</v>
      </c>
      <c r="M43" s="114">
        <v>6.7628496206877858E-2</v>
      </c>
      <c r="N43" s="115">
        <v>1.2643564168022239</v>
      </c>
      <c r="O43" s="115">
        <v>1.2128871862586506</v>
      </c>
      <c r="P43" s="115">
        <v>9.9261690018783764</v>
      </c>
      <c r="Q43" s="115">
        <v>12.77400128588857</v>
      </c>
      <c r="R43" s="115">
        <v>1.5682864771736835</v>
      </c>
      <c r="S43" s="115">
        <v>174.93405380702026</v>
      </c>
      <c r="T43" s="114">
        <v>0.60805829175786186</v>
      </c>
      <c r="U43" s="114">
        <v>1.0310107698711827E-2</v>
      </c>
      <c r="V43" s="114">
        <v>1.2154285274957153E-2</v>
      </c>
      <c r="W43" s="114">
        <v>0.17365130991782143</v>
      </c>
      <c r="X43" s="114">
        <v>0.13346953779498932</v>
      </c>
      <c r="Y43" s="114">
        <v>0.21559760760017976</v>
      </c>
      <c r="Z43" s="114">
        <v>0.21559760760017976</v>
      </c>
      <c r="AA43" s="116">
        <v>9.4154539946735144E-2</v>
      </c>
    </row>
    <row r="44" spans="1:27">
      <c r="A44" s="112" t="s">
        <v>226</v>
      </c>
      <c r="B44" s="113">
        <v>216</v>
      </c>
      <c r="C44" s="114">
        <v>5.7736644295302016E-2</v>
      </c>
      <c r="D44" s="114">
        <v>9.2632466588228685E-2</v>
      </c>
      <c r="E44" s="114">
        <v>8.5372354138341336E-2</v>
      </c>
      <c r="F44" s="114">
        <v>0.21652669275093028</v>
      </c>
      <c r="G44" s="115">
        <v>0.65714762128897608</v>
      </c>
      <c r="H44" s="115">
        <v>0.86023877816901739</v>
      </c>
      <c r="I44" s="114">
        <v>5.8849753622535403E-2</v>
      </c>
      <c r="J44" s="114">
        <v>0.27174887814893478</v>
      </c>
      <c r="K44" s="114">
        <v>3.5299999999999998E-2</v>
      </c>
      <c r="L44" s="114">
        <v>0.34025450819536418</v>
      </c>
      <c r="M44" s="114">
        <v>4.7698373629979487E-2</v>
      </c>
      <c r="N44" s="115">
        <v>1.1567613393116589</v>
      </c>
      <c r="O44" s="115">
        <v>2.664429820044965</v>
      </c>
      <c r="P44" s="115">
        <v>15.137243581830917</v>
      </c>
      <c r="Q44" s="115">
        <v>27.531995484459397</v>
      </c>
      <c r="R44" s="115">
        <v>4.6133226053635505</v>
      </c>
      <c r="S44" s="115">
        <v>80.437982909868126</v>
      </c>
      <c r="T44" s="114">
        <v>3.9870889157123175E-2</v>
      </c>
      <c r="U44" s="114">
        <v>7.0752770584079652E-2</v>
      </c>
      <c r="V44" s="114">
        <v>2.409181370053029E-2</v>
      </c>
      <c r="W44" s="114">
        <v>0.15271446938321112</v>
      </c>
      <c r="X44" s="114">
        <v>6.7106176640306645E-2</v>
      </c>
      <c r="Y44" s="114">
        <v>0.6126621759157449</v>
      </c>
      <c r="Z44" s="114">
        <v>0.6126621759157449</v>
      </c>
      <c r="AA44" s="116">
        <v>8.6728126488073584E-2</v>
      </c>
    </row>
    <row r="45" spans="1:27">
      <c r="A45" s="112" t="s">
        <v>87</v>
      </c>
      <c r="B45" s="113">
        <v>641</v>
      </c>
      <c r="C45" s="114">
        <v>-9.4980084745762711E-3</v>
      </c>
      <c r="D45" s="114">
        <v>-5.7502661812593864E-2</v>
      </c>
      <c r="E45" s="114">
        <v>-3.0280355968965215E-2</v>
      </c>
      <c r="F45" s="114">
        <v>0.20950361172276596</v>
      </c>
      <c r="G45" s="115">
        <v>0.8472227190304773</v>
      </c>
      <c r="H45" s="115">
        <v>1.0900269937340961</v>
      </c>
      <c r="I45" s="114">
        <v>7.2085554839083937E-2</v>
      </c>
      <c r="J45" s="114">
        <v>0.31461340725880804</v>
      </c>
      <c r="K45" s="114">
        <v>3.5299999999999998E-2</v>
      </c>
      <c r="L45" s="114">
        <v>0.35181874999791884</v>
      </c>
      <c r="M45" s="114">
        <v>5.5898569467699229E-2</v>
      </c>
      <c r="N45" s="115">
        <v>0.45578215616842904</v>
      </c>
      <c r="O45" s="115">
        <v>5.260045195437387</v>
      </c>
      <c r="P45" s="115">
        <v>30.70040958152282</v>
      </c>
      <c r="Q45" s="115" t="s">
        <v>160</v>
      </c>
      <c r="R45" s="115">
        <v>2.916215199759927</v>
      </c>
      <c r="S45" s="115">
        <v>125.16336052023325</v>
      </c>
      <c r="T45" s="114">
        <v>6.4666747951652752E-3</v>
      </c>
      <c r="U45" s="114">
        <v>0.13807782806300675</v>
      </c>
      <c r="V45" s="114">
        <v>5.7999934728785299E-2</v>
      </c>
      <c r="W45" s="114" t="s">
        <v>160</v>
      </c>
      <c r="X45" s="114">
        <v>-0.14748529661620288</v>
      </c>
      <c r="Y45" s="114">
        <v>1.3777250879214746E-2</v>
      </c>
      <c r="Z45" s="114">
        <v>1.3777250879214775E-2</v>
      </c>
      <c r="AA45" s="116">
        <v>-7.1495835219194545E-2</v>
      </c>
    </row>
    <row r="46" spans="1:27">
      <c r="A46" s="112" t="s">
        <v>88</v>
      </c>
      <c r="B46" s="113">
        <v>568</v>
      </c>
      <c r="C46" s="114">
        <v>5.9459876160990702E-2</v>
      </c>
      <c r="D46" s="114">
        <v>0.15820258326561418</v>
      </c>
      <c r="E46" s="114">
        <v>0.22372859735810136</v>
      </c>
      <c r="F46" s="114">
        <v>0.23560669219940256</v>
      </c>
      <c r="G46" s="115">
        <v>0.8717875265869961</v>
      </c>
      <c r="H46" s="115">
        <v>0.90887019061406316</v>
      </c>
      <c r="I46" s="114">
        <v>6.165092297937004E-2</v>
      </c>
      <c r="J46" s="114">
        <v>0.35238610342639226</v>
      </c>
      <c r="K46" s="114">
        <v>3.5299999999999998E-2</v>
      </c>
      <c r="L46" s="114">
        <v>0.10628214020009465</v>
      </c>
      <c r="M46" s="114">
        <v>5.7869955718704486E-2</v>
      </c>
      <c r="N46" s="115">
        <v>1.5882858144326051</v>
      </c>
      <c r="O46" s="115">
        <v>3.8447764903630572</v>
      </c>
      <c r="P46" s="115">
        <v>18.642932971149786</v>
      </c>
      <c r="Q46" s="115">
        <v>23.869352920980948</v>
      </c>
      <c r="R46" s="115">
        <v>6.1323586699133354</v>
      </c>
      <c r="S46" s="115">
        <v>73.089954616547146</v>
      </c>
      <c r="T46" s="114">
        <v>5.6268596375048836E-2</v>
      </c>
      <c r="U46" s="114">
        <v>3.6021991736811053E-2</v>
      </c>
      <c r="V46" s="114">
        <v>3.1384969465088779E-2</v>
      </c>
      <c r="W46" s="114">
        <v>0.19934316355132445</v>
      </c>
      <c r="X46" s="114">
        <v>0.16796405774858486</v>
      </c>
      <c r="Y46" s="114">
        <v>0.65420208373717426</v>
      </c>
      <c r="Z46" s="114">
        <v>0.65420208373717426</v>
      </c>
      <c r="AA46" s="116">
        <v>0.15887069513763688</v>
      </c>
    </row>
    <row r="47" spans="1:27">
      <c r="A47" s="112" t="s">
        <v>89</v>
      </c>
      <c r="B47" s="113">
        <v>244</v>
      </c>
      <c r="C47" s="114">
        <v>0.15574862595419844</v>
      </c>
      <c r="D47" s="114">
        <v>0.20182645524700482</v>
      </c>
      <c r="E47" s="114">
        <v>0.21092627951971957</v>
      </c>
      <c r="F47" s="114">
        <v>0.20715442478367135</v>
      </c>
      <c r="G47" s="115">
        <v>1.1413189391944609</v>
      </c>
      <c r="H47" s="115">
        <v>1.1784026677580446</v>
      </c>
      <c r="I47" s="114">
        <v>7.7175993662863374E-2</v>
      </c>
      <c r="J47" s="114">
        <v>0.38540743015457579</v>
      </c>
      <c r="K47" s="114">
        <v>3.5299999999999998E-2</v>
      </c>
      <c r="L47" s="114">
        <v>8.747410021429676E-2</v>
      </c>
      <c r="M47" s="114">
        <v>7.2706077318399148E-2</v>
      </c>
      <c r="N47" s="115">
        <v>1.2043786540585535</v>
      </c>
      <c r="O47" s="115">
        <v>9.6656712346595111</v>
      </c>
      <c r="P47" s="115">
        <v>32.310574467193682</v>
      </c>
      <c r="Q47" s="115">
        <v>46.248128219163583</v>
      </c>
      <c r="R47" s="115">
        <v>8.3242393102267478</v>
      </c>
      <c r="S47" s="115">
        <v>62.482860925292307</v>
      </c>
      <c r="T47" s="114">
        <v>4.4844786796844893E-2</v>
      </c>
      <c r="U47" s="114">
        <v>3.0687127151268905E-2</v>
      </c>
      <c r="V47" s="114">
        <v>3.4516262927303189E-3</v>
      </c>
      <c r="W47" s="114">
        <v>-3.5999337262954813E-3</v>
      </c>
      <c r="X47" s="114">
        <v>0.13120933947351837</v>
      </c>
      <c r="Y47" s="114">
        <v>0.34556208581467718</v>
      </c>
      <c r="Z47" s="114">
        <v>0.34556208581467718</v>
      </c>
      <c r="AA47" s="116">
        <v>0.20264065412192425</v>
      </c>
    </row>
    <row r="48" spans="1:27">
      <c r="A48" s="112" t="s">
        <v>90</v>
      </c>
      <c r="B48" s="113">
        <v>220</v>
      </c>
      <c r="C48" s="114">
        <v>5.6345416666666648E-2</v>
      </c>
      <c r="D48" s="114">
        <v>8.441147836787613E-2</v>
      </c>
      <c r="E48" s="114">
        <v>0.10302496663851407</v>
      </c>
      <c r="F48" s="114">
        <v>0.23030529198316071</v>
      </c>
      <c r="G48" s="115">
        <v>0.66093915854310892</v>
      </c>
      <c r="H48" s="115">
        <v>0.75372239380937989</v>
      </c>
      <c r="I48" s="114">
        <v>5.2714409883420285E-2</v>
      </c>
      <c r="J48" s="114">
        <v>0.23272027545347965</v>
      </c>
      <c r="K48" s="114">
        <v>2.8699999999999996E-2</v>
      </c>
      <c r="L48" s="114">
        <v>0.32121645015750061</v>
      </c>
      <c r="M48" s="114">
        <v>4.2591684651210181E-2</v>
      </c>
      <c r="N48" s="115">
        <v>1.4495135759544471</v>
      </c>
      <c r="O48" s="115">
        <v>1.0440686718821062</v>
      </c>
      <c r="P48" s="115">
        <v>9.3343716451430119</v>
      </c>
      <c r="Q48" s="115">
        <v>12.245819694385553</v>
      </c>
      <c r="R48" s="115">
        <v>1.2333989119701083</v>
      </c>
      <c r="S48" s="115">
        <v>72.144695936919376</v>
      </c>
      <c r="T48" s="114">
        <v>-3.1416369311518942E-2</v>
      </c>
      <c r="U48" s="114">
        <v>7.0463417426349026E-3</v>
      </c>
      <c r="V48" s="114">
        <v>-3.7248858947373162E-3</v>
      </c>
      <c r="W48" s="114">
        <v>-0.15000429057772613</v>
      </c>
      <c r="X48" s="114">
        <v>7.1984881512415264E-2</v>
      </c>
      <c r="Y48" s="114">
        <v>0.46274490958796699</v>
      </c>
      <c r="Z48" s="114">
        <v>0.46274490958796699</v>
      </c>
      <c r="AA48" s="116">
        <v>8.4496021704342963E-2</v>
      </c>
    </row>
    <row r="49" spans="1:27">
      <c r="A49" s="112" t="s">
        <v>91</v>
      </c>
      <c r="B49" s="113">
        <v>133</v>
      </c>
      <c r="C49" s="114">
        <v>9.3162830188679241E-2</v>
      </c>
      <c r="D49" s="114">
        <v>9.6785565381350372E-2</v>
      </c>
      <c r="E49" s="114">
        <v>0.10700627475871892</v>
      </c>
      <c r="F49" s="114">
        <v>0.16100783199377261</v>
      </c>
      <c r="G49" s="115">
        <v>0.96468929006716631</v>
      </c>
      <c r="H49" s="115">
        <v>1.0009130721259367</v>
      </c>
      <c r="I49" s="114">
        <v>6.6952592954453952E-2</v>
      </c>
      <c r="J49" s="114">
        <v>0.23853805321034321</v>
      </c>
      <c r="K49" s="114">
        <v>2.8699999999999996E-2</v>
      </c>
      <c r="L49" s="114">
        <v>0.49244507833009749</v>
      </c>
      <c r="M49" s="114">
        <v>4.4422293520296856E-2</v>
      </c>
      <c r="N49" s="115">
        <v>1.2996375403888412</v>
      </c>
      <c r="O49" s="115">
        <v>0.91068721551173171</v>
      </c>
      <c r="P49" s="115">
        <v>8.5936367201330484</v>
      </c>
      <c r="Q49" s="115">
        <v>9.210219926577075</v>
      </c>
      <c r="R49" s="115">
        <v>0.94989385415460947</v>
      </c>
      <c r="S49" s="115">
        <v>52.068852570755311</v>
      </c>
      <c r="T49" s="114">
        <v>-1.0439527494357963</v>
      </c>
      <c r="U49" s="114">
        <v>5.6241715500413535E-3</v>
      </c>
      <c r="V49" s="114">
        <v>4.3681583623900438E-3</v>
      </c>
      <c r="W49" s="114">
        <v>0.63241346460848269</v>
      </c>
      <c r="X49" s="114">
        <v>7.8911402880380691E-2</v>
      </c>
      <c r="Y49" s="114">
        <v>0.45641031110005009</v>
      </c>
      <c r="Z49" s="114">
        <v>0.45641031110005015</v>
      </c>
      <c r="AA49" s="116">
        <v>9.6793341328036742E-2</v>
      </c>
    </row>
    <row r="50" spans="1:27">
      <c r="A50" s="112" t="s">
        <v>92</v>
      </c>
      <c r="B50" s="113">
        <v>229</v>
      </c>
      <c r="C50" s="114">
        <v>4.3124891304347816E-2</v>
      </c>
      <c r="D50" s="114">
        <v>8.3399011416030525E-2</v>
      </c>
      <c r="E50" s="114">
        <v>9.4468069148615608E-2</v>
      </c>
      <c r="F50" s="114">
        <v>0.19801392597572173</v>
      </c>
      <c r="G50" s="115">
        <v>0.65470385645511298</v>
      </c>
      <c r="H50" s="115">
        <v>0.7229195692595527</v>
      </c>
      <c r="I50" s="114">
        <v>5.0940167189350238E-2</v>
      </c>
      <c r="J50" s="114">
        <v>0.24512185999972827</v>
      </c>
      <c r="K50" s="114">
        <v>2.8699999999999996E-2</v>
      </c>
      <c r="L50" s="114">
        <v>0.24163976840889187</v>
      </c>
      <c r="M50" s="114">
        <v>4.3753926808714122E-2</v>
      </c>
      <c r="N50" s="115">
        <v>1.3343103920364989</v>
      </c>
      <c r="O50" s="115">
        <v>1.037640063894711</v>
      </c>
      <c r="P50" s="115">
        <v>9.5687077345568845</v>
      </c>
      <c r="Q50" s="115">
        <v>11.604261411844687</v>
      </c>
      <c r="R50" s="115">
        <v>1.2187240683339138</v>
      </c>
      <c r="S50" s="115">
        <v>26.18470472273216</v>
      </c>
      <c r="T50" s="114">
        <v>-0.39684602981822165</v>
      </c>
      <c r="U50" s="114">
        <v>8.6154135719984943E-3</v>
      </c>
      <c r="V50" s="114">
        <v>5.9281218853396032E-4</v>
      </c>
      <c r="W50" s="114">
        <v>0.13845036464541077</v>
      </c>
      <c r="X50" s="114">
        <v>7.4022997995806847E-2</v>
      </c>
      <c r="Y50" s="114">
        <v>0.46016618765259676</v>
      </c>
      <c r="Z50" s="114">
        <v>0.46016618765259676</v>
      </c>
      <c r="AA50" s="116">
        <v>8.3392733773037922E-2</v>
      </c>
    </row>
    <row r="51" spans="1:27">
      <c r="A51" s="112" t="s">
        <v>227</v>
      </c>
      <c r="B51" s="113">
        <v>1234</v>
      </c>
      <c r="C51" s="114">
        <v>9.609849794238684E-2</v>
      </c>
      <c r="D51" s="114">
        <v>0.17100771031174963</v>
      </c>
      <c r="E51" s="114">
        <v>4.6153342880509034E-2</v>
      </c>
      <c r="F51" s="114">
        <v>0.21142347839020378</v>
      </c>
      <c r="G51" s="115">
        <v>0.54969271547253751</v>
      </c>
      <c r="H51" s="115">
        <v>0.78452433276530253</v>
      </c>
      <c r="I51" s="114">
        <v>5.4488601567281428E-2</v>
      </c>
      <c r="J51" s="114">
        <v>0.30369873311812645</v>
      </c>
      <c r="K51" s="114">
        <v>3.5299999999999998E-2</v>
      </c>
      <c r="L51" s="114">
        <v>0.44814580668275322</v>
      </c>
      <c r="M51" s="114">
        <v>4.1755662613995166E-2</v>
      </c>
      <c r="N51" s="115">
        <v>0.29173714122735234</v>
      </c>
      <c r="O51" s="115">
        <v>5.7898142366234637</v>
      </c>
      <c r="P51" s="115">
        <v>18.305430467923699</v>
      </c>
      <c r="Q51" s="115">
        <v>23.235396857603682</v>
      </c>
      <c r="R51" s="115">
        <v>1.5435732528554318</v>
      </c>
      <c r="S51" s="115">
        <v>198.87361597244291</v>
      </c>
      <c r="T51" s="114" t="s">
        <v>160</v>
      </c>
      <c r="U51" s="114">
        <v>2.4313308632169569E-2</v>
      </c>
      <c r="V51" s="114">
        <v>6.2238054460283111E-2</v>
      </c>
      <c r="W51" s="114">
        <v>0.57926887512721492</v>
      </c>
      <c r="X51" s="114">
        <v>7.2436925554621667E-2</v>
      </c>
      <c r="Y51" s="114">
        <v>0.67265334237736729</v>
      </c>
      <c r="Z51" s="114">
        <v>0.67265334237736729</v>
      </c>
      <c r="AA51" s="116">
        <v>0.17017513243890259</v>
      </c>
    </row>
    <row r="52" spans="1:27">
      <c r="A52" s="112" t="s">
        <v>93</v>
      </c>
      <c r="B52" s="113">
        <v>1385</v>
      </c>
      <c r="C52" s="114">
        <v>3.5749179030662728E-2</v>
      </c>
      <c r="D52" s="114">
        <v>7.8180338569023941E-2</v>
      </c>
      <c r="E52" s="114">
        <v>9.5479385605646602E-2</v>
      </c>
      <c r="F52" s="114">
        <v>0.23825619324132302</v>
      </c>
      <c r="G52" s="115">
        <v>1.0733563446039929</v>
      </c>
      <c r="H52" s="115">
        <v>1.1119310657993697</v>
      </c>
      <c r="I52" s="114">
        <v>7.3347229390043692E-2</v>
      </c>
      <c r="J52" s="114">
        <v>0.27337225140930221</v>
      </c>
      <c r="K52" s="114">
        <v>3.5299999999999998E-2</v>
      </c>
      <c r="L52" s="114">
        <v>0.14536554264149013</v>
      </c>
      <c r="M52" s="114">
        <v>6.6475637468639326E-2</v>
      </c>
      <c r="N52" s="115">
        <v>1.4056883069110573</v>
      </c>
      <c r="O52" s="115">
        <v>2.2171526556283028</v>
      </c>
      <c r="P52" s="115">
        <v>17.093035579406454</v>
      </c>
      <c r="Q52" s="115">
        <v>27.397780040120018</v>
      </c>
      <c r="R52" s="115">
        <v>3.0545598996326211</v>
      </c>
      <c r="S52" s="115">
        <v>87.497487998420524</v>
      </c>
      <c r="T52" s="114">
        <v>0.2630743779833235</v>
      </c>
      <c r="U52" s="114">
        <v>4.2522639050687386E-2</v>
      </c>
      <c r="V52" s="114">
        <v>3.4695606907674835E-2</v>
      </c>
      <c r="W52" s="114">
        <v>0.48139571916221713</v>
      </c>
      <c r="X52" s="114">
        <v>7.474191627607292E-2</v>
      </c>
      <c r="Y52" s="114">
        <v>0.56224323710859969</v>
      </c>
      <c r="Z52" s="114">
        <v>0.56224323710859969</v>
      </c>
      <c r="AA52" s="116">
        <v>8.0082959671066004E-2</v>
      </c>
    </row>
    <row r="53" spans="1:27">
      <c r="A53" s="112" t="s">
        <v>94</v>
      </c>
      <c r="B53" s="113">
        <v>1620</v>
      </c>
      <c r="C53" s="114">
        <v>0.15564490683229823</v>
      </c>
      <c r="D53" s="114">
        <v>8.0992182236577934E-2</v>
      </c>
      <c r="E53" s="114">
        <v>8.6514206730186699E-2</v>
      </c>
      <c r="F53" s="114">
        <v>0.31304620302109959</v>
      </c>
      <c r="G53" s="115">
        <v>0.8290093911238976</v>
      </c>
      <c r="H53" s="115">
        <v>0.96823348374454843</v>
      </c>
      <c r="I53" s="114">
        <v>6.5070248663685992E-2</v>
      </c>
      <c r="J53" s="114">
        <v>0.53804521526590554</v>
      </c>
      <c r="K53" s="114">
        <v>3.9480000000000001E-2</v>
      </c>
      <c r="L53" s="114">
        <v>0.26725459757004338</v>
      </c>
      <c r="M53" s="114">
        <v>5.5474105487252588E-2</v>
      </c>
      <c r="N53" s="115">
        <v>1.1012033100705725</v>
      </c>
      <c r="O53" s="115">
        <v>1.6387589778053513</v>
      </c>
      <c r="P53" s="115">
        <v>10.199381830776048</v>
      </c>
      <c r="Q53" s="115">
        <v>19.251610285711003</v>
      </c>
      <c r="R53" s="115">
        <v>1.9822301557157571</v>
      </c>
      <c r="S53" s="115">
        <v>175.10449874559089</v>
      </c>
      <c r="T53" s="114">
        <v>0.10385805243346732</v>
      </c>
      <c r="U53" s="114">
        <v>8.0528904951986599E-2</v>
      </c>
      <c r="V53" s="114">
        <v>4.1149561665671658E-2</v>
      </c>
      <c r="W53" s="114">
        <v>0.88514430115476506</v>
      </c>
      <c r="X53" s="114">
        <v>3.6135737608428663E-2</v>
      </c>
      <c r="Y53" s="114">
        <v>1.7998077354931796</v>
      </c>
      <c r="Z53" s="114">
        <v>1.7998077354931796</v>
      </c>
      <c r="AA53" s="116">
        <v>8.1576232200817847E-2</v>
      </c>
    </row>
    <row r="54" spans="1:27">
      <c r="A54" s="112" t="s">
        <v>95</v>
      </c>
      <c r="B54" s="113">
        <v>148</v>
      </c>
      <c r="C54" s="114">
        <v>3.1730810810810819E-2</v>
      </c>
      <c r="D54" s="114">
        <v>6.6814985300289315E-2</v>
      </c>
      <c r="E54" s="114">
        <v>0.10686849438181199</v>
      </c>
      <c r="F54" s="114">
        <v>0.26234836286704438</v>
      </c>
      <c r="G54" s="115">
        <v>1.0064044083473549</v>
      </c>
      <c r="H54" s="115">
        <v>1.04061227843863</v>
      </c>
      <c r="I54" s="114">
        <v>6.9239267238065089E-2</v>
      </c>
      <c r="J54" s="114">
        <v>0.29314847705072661</v>
      </c>
      <c r="K54" s="114">
        <v>3.5299999999999998E-2</v>
      </c>
      <c r="L54" s="114">
        <v>0.2016683934441601</v>
      </c>
      <c r="M54" s="114">
        <v>6.0534622661886826E-2</v>
      </c>
      <c r="N54" s="115">
        <v>1.9088819783660118</v>
      </c>
      <c r="O54" s="115">
        <v>1.1585597192863999</v>
      </c>
      <c r="P54" s="115">
        <v>10.517703746078713</v>
      </c>
      <c r="Q54" s="115">
        <v>16.80864058668698</v>
      </c>
      <c r="R54" s="115">
        <v>2.1382695836214745</v>
      </c>
      <c r="S54" s="115">
        <v>35.760737920816169</v>
      </c>
      <c r="T54" s="114">
        <v>0.12522881738234767</v>
      </c>
      <c r="U54" s="114">
        <v>2.3060109361668309E-2</v>
      </c>
      <c r="V54" s="114">
        <v>3.5955351939908277E-3</v>
      </c>
      <c r="W54" s="114">
        <v>1.6498430217184879E-2</v>
      </c>
      <c r="X54" s="114">
        <v>6.8717447481057278E-2</v>
      </c>
      <c r="Y54" s="114">
        <v>0.58258750489263911</v>
      </c>
      <c r="Z54" s="114">
        <v>0.58258750489263911</v>
      </c>
      <c r="AA54" s="116">
        <v>6.6611319603357422E-2</v>
      </c>
    </row>
    <row r="55" spans="1:27">
      <c r="A55" s="112" t="s">
        <v>96</v>
      </c>
      <c r="B55" s="113">
        <v>49</v>
      </c>
      <c r="C55" s="114">
        <v>7.3514634146341473E-3</v>
      </c>
      <c r="D55" s="114">
        <v>6.2525566899500992E-2</v>
      </c>
      <c r="E55" s="114">
        <v>4.5900533502141648E-2</v>
      </c>
      <c r="F55" s="114">
        <v>0.45136529445157941</v>
      </c>
      <c r="G55" s="115">
        <v>1.0784866590681668</v>
      </c>
      <c r="H55" s="115">
        <v>1.2711173449593738</v>
      </c>
      <c r="I55" s="114">
        <v>8.2516359069659928E-2</v>
      </c>
      <c r="J55" s="114">
        <v>0.24704063022857292</v>
      </c>
      <c r="K55" s="114">
        <v>2.8699999999999996E-2</v>
      </c>
      <c r="L55" s="114">
        <v>0.25969226092636288</v>
      </c>
      <c r="M55" s="114">
        <v>6.6593154338747282E-2</v>
      </c>
      <c r="N55" s="115">
        <v>0.85383699775655109</v>
      </c>
      <c r="O55" s="115">
        <v>1.660873383545431</v>
      </c>
      <c r="P55" s="115">
        <v>9.6460503142240874</v>
      </c>
      <c r="Q55" s="115">
        <v>26.37762169078243</v>
      </c>
      <c r="R55" s="115">
        <v>1.5892205099596308</v>
      </c>
      <c r="S55" s="115">
        <v>45.520538800951364</v>
      </c>
      <c r="T55" s="114">
        <v>1.8761302267566119E-2</v>
      </c>
      <c r="U55" s="114">
        <v>0.11179618510887376</v>
      </c>
      <c r="V55" s="114">
        <v>3.423742949072911E-3</v>
      </c>
      <c r="W55" s="114">
        <v>-0.17524038955800547</v>
      </c>
      <c r="X55" s="114">
        <v>-1.428484689581434E-2</v>
      </c>
      <c r="Y55" s="114">
        <v>1.4475627028430147E-2</v>
      </c>
      <c r="Z55" s="114">
        <v>1.4475627028430194E-2</v>
      </c>
      <c r="AA55" s="116">
        <v>6.2953329499191454E-2</v>
      </c>
    </row>
    <row r="56" spans="1:27">
      <c r="A56" s="112" t="s">
        <v>97</v>
      </c>
      <c r="B56" s="113">
        <v>765</v>
      </c>
      <c r="C56" s="114">
        <v>6.6731298342541392E-2</v>
      </c>
      <c r="D56" s="114">
        <v>-7.4979510564880739E-2</v>
      </c>
      <c r="E56" s="114">
        <v>-2.1942125991481487E-2</v>
      </c>
      <c r="F56" s="114">
        <v>0.4103022773236194</v>
      </c>
      <c r="G56" s="115">
        <v>0.93115697258918551</v>
      </c>
      <c r="H56" s="115">
        <v>1.3120327885317891</v>
      </c>
      <c r="I56" s="114">
        <v>8.4873088619431047E-2</v>
      </c>
      <c r="J56" s="114">
        <v>0.50711432366281006</v>
      </c>
      <c r="K56" s="114">
        <v>3.9480000000000001E-2</v>
      </c>
      <c r="L56" s="114">
        <v>0.40389839932705973</v>
      </c>
      <c r="M56" s="114">
        <v>6.2372226814672013E-2</v>
      </c>
      <c r="N56" s="115">
        <v>0.31875987970857345</v>
      </c>
      <c r="O56" s="115">
        <v>2.7822729517139697</v>
      </c>
      <c r="P56" s="115">
        <v>6.1077181474492503</v>
      </c>
      <c r="Q56" s="115" t="s">
        <v>160</v>
      </c>
      <c r="R56" s="115">
        <v>1.048950330651544</v>
      </c>
      <c r="S56" s="115">
        <v>52.885257417390406</v>
      </c>
      <c r="T56" s="114">
        <v>-5.0903664172287355E-4</v>
      </c>
      <c r="U56" s="114">
        <v>0.32259348171698482</v>
      </c>
      <c r="V56" s="114">
        <v>-0.13779802077244871</v>
      </c>
      <c r="W56" s="114" t="s">
        <v>160</v>
      </c>
      <c r="X56" s="114">
        <v>-0.21044027879950497</v>
      </c>
      <c r="Y56" s="114">
        <v>8.3329410875181177E-3</v>
      </c>
      <c r="Z56" s="114">
        <v>8.332941087518142E-3</v>
      </c>
      <c r="AA56" s="116">
        <v>-7.1167280767459359E-2</v>
      </c>
    </row>
    <row r="57" spans="1:27">
      <c r="A57" s="112" t="s">
        <v>98</v>
      </c>
      <c r="B57" s="113">
        <v>204</v>
      </c>
      <c r="C57" s="114">
        <v>9.6823618421052624E-2</v>
      </c>
      <c r="D57" s="114">
        <v>0.16791450682916975</v>
      </c>
      <c r="E57" s="114">
        <v>8.0683033102243826E-2</v>
      </c>
      <c r="F57" s="114">
        <v>0.10935148833870346</v>
      </c>
      <c r="G57" s="115">
        <v>0.64604133994797708</v>
      </c>
      <c r="H57" s="115">
        <v>1.1410741205323776</v>
      </c>
      <c r="I57" s="114">
        <v>7.5025869342664947E-2</v>
      </c>
      <c r="J57" s="114">
        <v>0.3131478445564459</v>
      </c>
      <c r="K57" s="114">
        <v>3.5299999999999998E-2</v>
      </c>
      <c r="L57" s="114">
        <v>0.52408437433667587</v>
      </c>
      <c r="M57" s="114">
        <v>4.9372065343633531E-2</v>
      </c>
      <c r="N57" s="115">
        <v>0.53513766114198602</v>
      </c>
      <c r="O57" s="115">
        <v>2.3767141676513144</v>
      </c>
      <c r="P57" s="115">
        <v>9.2204824038572912</v>
      </c>
      <c r="Q57" s="115">
        <v>14.139492936348553</v>
      </c>
      <c r="R57" s="115">
        <v>1.1875477581713811</v>
      </c>
      <c r="S57" s="115">
        <v>26.720608206799174</v>
      </c>
      <c r="T57" s="114">
        <v>4.7508952175189481E-2</v>
      </c>
      <c r="U57" s="114">
        <v>0.13592485325255829</v>
      </c>
      <c r="V57" s="114">
        <v>5.7755513580702848E-2</v>
      </c>
      <c r="W57" s="114">
        <v>0.42130021006085205</v>
      </c>
      <c r="X57" s="114">
        <v>5.2450035098246979E-2</v>
      </c>
      <c r="Y57" s="114">
        <v>2.0187121806587864</v>
      </c>
      <c r="Z57" s="114">
        <v>2.0187121806587864</v>
      </c>
      <c r="AA57" s="116">
        <v>0.16756757531796393</v>
      </c>
    </row>
    <row r="58" spans="1:27">
      <c r="A58" s="112" t="s">
        <v>99</v>
      </c>
      <c r="B58" s="113">
        <v>513</v>
      </c>
      <c r="C58" s="114">
        <v>-2.2513019943019998E-2</v>
      </c>
      <c r="D58" s="114">
        <v>1.2732821776313276E-2</v>
      </c>
      <c r="E58" s="114">
        <v>2.1184430469070606E-2</v>
      </c>
      <c r="F58" s="114">
        <v>0.14755967720934979</v>
      </c>
      <c r="G58" s="115">
        <v>0.9101608921339075</v>
      </c>
      <c r="H58" s="115">
        <v>1.2272852849455207</v>
      </c>
      <c r="I58" s="114">
        <v>7.9991632412861988E-2</v>
      </c>
      <c r="J58" s="114">
        <v>0.37623190538611695</v>
      </c>
      <c r="K58" s="114">
        <v>3.5299999999999998E-2</v>
      </c>
      <c r="L58" s="114">
        <v>0.38264705229440676</v>
      </c>
      <c r="M58" s="114">
        <v>5.936101668866732E-2</v>
      </c>
      <c r="N58" s="115">
        <v>1.6461650636765661</v>
      </c>
      <c r="O58" s="115">
        <v>0.84627253942712244</v>
      </c>
      <c r="P58" s="115">
        <v>12.814444848422259</v>
      </c>
      <c r="Q58" s="115">
        <v>54.871710295453582</v>
      </c>
      <c r="R58" s="115">
        <v>1.4077579768604562</v>
      </c>
      <c r="S58" s="115">
        <v>35.051665639752855</v>
      </c>
      <c r="T58" s="114">
        <v>6.959284734924201E-2</v>
      </c>
      <c r="U58" s="114">
        <v>4.9458459419800815E-2</v>
      </c>
      <c r="V58" s="114">
        <v>1.8528251981884691E-2</v>
      </c>
      <c r="W58" s="114">
        <v>0.90284467897138365</v>
      </c>
      <c r="X58" s="114">
        <v>-0.12478769836405747</v>
      </c>
      <c r="Y58" s="114">
        <v>5.2977500063214923E-3</v>
      </c>
      <c r="Z58" s="114">
        <v>5.2977500063214888E-3</v>
      </c>
      <c r="AA58" s="116">
        <v>1.3848175464534504E-2</v>
      </c>
    </row>
    <row r="59" spans="1:27">
      <c r="A59" s="112" t="s">
        <v>100</v>
      </c>
      <c r="B59" s="113">
        <v>412</v>
      </c>
      <c r="C59" s="114">
        <v>2.8063993610223648E-2</v>
      </c>
      <c r="D59" s="114">
        <v>8.8048012219104729E-2</v>
      </c>
      <c r="E59" s="114">
        <v>0.10178597731007138</v>
      </c>
      <c r="F59" s="114">
        <v>0.23864860403676158</v>
      </c>
      <c r="G59" s="115">
        <v>0.70719198930449789</v>
      </c>
      <c r="H59" s="115">
        <v>0.8828357360378839</v>
      </c>
      <c r="I59" s="114">
        <v>6.0151338395782114E-2</v>
      </c>
      <c r="J59" s="114">
        <v>0.28677696050431523</v>
      </c>
      <c r="K59" s="114">
        <v>3.5299999999999998E-2</v>
      </c>
      <c r="L59" s="114">
        <v>0.30395202333456411</v>
      </c>
      <c r="M59" s="114">
        <v>4.9794103779296744E-2</v>
      </c>
      <c r="N59" s="115">
        <v>1.3541364004470926</v>
      </c>
      <c r="O59" s="115">
        <v>1.6641896493621446</v>
      </c>
      <c r="P59" s="115">
        <v>10.826582116570467</v>
      </c>
      <c r="Q59" s="115">
        <v>18.627664835468295</v>
      </c>
      <c r="R59" s="115">
        <v>2.722140474835705</v>
      </c>
      <c r="S59" s="115">
        <v>35.86775850819938</v>
      </c>
      <c r="T59" s="114">
        <v>0.11429810826297121</v>
      </c>
      <c r="U59" s="114">
        <v>6.0439370020789689E-2</v>
      </c>
      <c r="V59" s="114">
        <v>2.3958676051341471E-2</v>
      </c>
      <c r="W59" s="114">
        <v>0.28169823761335094</v>
      </c>
      <c r="X59" s="114">
        <v>0.10064848137749706</v>
      </c>
      <c r="Y59" s="114">
        <v>0.53275490182221286</v>
      </c>
      <c r="Z59" s="114">
        <v>0.53275490182221286</v>
      </c>
      <c r="AA59" s="116">
        <v>8.9252677084138018E-2</v>
      </c>
    </row>
    <row r="60" spans="1:27">
      <c r="A60" s="112" t="s">
        <v>101</v>
      </c>
      <c r="B60" s="113">
        <v>287</v>
      </c>
      <c r="C60" s="114">
        <v>3.252789473684211E-2</v>
      </c>
      <c r="D60" s="114">
        <v>7.0262707836589125E-2</v>
      </c>
      <c r="E60" s="114">
        <v>5.3840932669191717E-2</v>
      </c>
      <c r="F60" s="114">
        <v>0.22556317729487382</v>
      </c>
      <c r="G60" s="115">
        <v>0.78438278848567</v>
      </c>
      <c r="H60" s="115">
        <v>1.0127509460670638</v>
      </c>
      <c r="I60" s="114">
        <v>6.7634454493462878E-2</v>
      </c>
      <c r="J60" s="114">
        <v>0.29438528762743532</v>
      </c>
      <c r="K60" s="114">
        <v>3.5299999999999998E-2</v>
      </c>
      <c r="L60" s="114">
        <v>0.35151237239572319</v>
      </c>
      <c r="M60" s="114">
        <v>5.3026182227726995E-2</v>
      </c>
      <c r="N60" s="115">
        <v>0.87045594260760117</v>
      </c>
      <c r="O60" s="115">
        <v>1.5672227102312852</v>
      </c>
      <c r="P60" s="115">
        <v>10.991859737512723</v>
      </c>
      <c r="Q60" s="115">
        <v>21.675130000386094</v>
      </c>
      <c r="R60" s="115">
        <v>1.4651092432023394</v>
      </c>
      <c r="S60" s="115">
        <v>159.36105337962837</v>
      </c>
      <c r="T60" s="114">
        <v>0.18689597808612965</v>
      </c>
      <c r="U60" s="114">
        <v>7.3561339134646117E-2</v>
      </c>
      <c r="V60" s="114">
        <v>2.6641147244268252E-2</v>
      </c>
      <c r="W60" s="114">
        <v>0.17012378409593912</v>
      </c>
      <c r="X60" s="114">
        <v>4.9568531155455606E-2</v>
      </c>
      <c r="Y60" s="114">
        <v>0.59657080236245486</v>
      </c>
      <c r="Z60" s="114">
        <v>0.59657080236245486</v>
      </c>
      <c r="AA60" s="116">
        <v>7.066603412132974E-2</v>
      </c>
    </row>
    <row r="61" spans="1:27">
      <c r="A61" s="112" t="s">
        <v>102</v>
      </c>
      <c r="B61" s="113">
        <v>553</v>
      </c>
      <c r="C61" s="114">
        <v>6.4163612334801792E-2</v>
      </c>
      <c r="D61" s="114">
        <v>0.13383292253248166</v>
      </c>
      <c r="E61" s="114">
        <v>6.1485115462231968E-2</v>
      </c>
      <c r="F61" s="114">
        <v>0.1969090398801272</v>
      </c>
      <c r="G61" s="115">
        <v>0.51004822811349038</v>
      </c>
      <c r="H61" s="115">
        <v>0.8230453544536388</v>
      </c>
      <c r="I61" s="114">
        <v>5.6707412416529587E-2</v>
      </c>
      <c r="J61" s="114">
        <v>0.22412670216926131</v>
      </c>
      <c r="K61" s="114">
        <v>2.8699999999999996E-2</v>
      </c>
      <c r="L61" s="114">
        <v>0.48350857003198039</v>
      </c>
      <c r="M61" s="114">
        <v>3.9539607834390908E-2</v>
      </c>
      <c r="N61" s="115">
        <v>0.55448378742715332</v>
      </c>
      <c r="O61" s="115">
        <v>2.4391340190746416</v>
      </c>
      <c r="P61" s="115">
        <v>10.024515704542777</v>
      </c>
      <c r="Q61" s="115">
        <v>18.186634474714506</v>
      </c>
      <c r="R61" s="115">
        <v>1.3490838922280772</v>
      </c>
      <c r="S61" s="115">
        <v>25.262992128402374</v>
      </c>
      <c r="T61" s="114">
        <v>2.1055139607578925E-2</v>
      </c>
      <c r="U61" s="114">
        <v>0.17478004662950275</v>
      </c>
      <c r="V61" s="114">
        <v>8.6341670698698539E-2</v>
      </c>
      <c r="W61" s="114">
        <v>0.85247510099530188</v>
      </c>
      <c r="X61" s="114">
        <v>7.3133508127805461E-2</v>
      </c>
      <c r="Y61" s="114">
        <v>0.81591272193740338</v>
      </c>
      <c r="Z61" s="114">
        <v>0.81591272193740338</v>
      </c>
      <c r="AA61" s="116">
        <v>0.13381221841430968</v>
      </c>
    </row>
    <row r="62" spans="1:27">
      <c r="A62" s="112" t="s">
        <v>103</v>
      </c>
      <c r="B62" s="113">
        <v>922</v>
      </c>
      <c r="C62" s="114">
        <v>0.35804587677725125</v>
      </c>
      <c r="D62" s="114">
        <v>0.19254638587743905</v>
      </c>
      <c r="E62" s="114">
        <v>0.14340915346960495</v>
      </c>
      <c r="F62" s="114">
        <v>0.27749406351450828</v>
      </c>
      <c r="G62" s="115">
        <v>0.86680602242063554</v>
      </c>
      <c r="H62" s="115">
        <v>0.89419497391336067</v>
      </c>
      <c r="I62" s="114">
        <v>6.0805630497409571E-2</v>
      </c>
      <c r="J62" s="114">
        <v>0.54779373659813713</v>
      </c>
      <c r="K62" s="114">
        <v>3.9480000000000001E-2</v>
      </c>
      <c r="L62" s="114">
        <v>0.12607061524508933</v>
      </c>
      <c r="M62" s="114">
        <v>5.6816535040487073E-2</v>
      </c>
      <c r="N62" s="115">
        <v>0.77356024872266615</v>
      </c>
      <c r="O62" s="115">
        <v>3.5171915685372932</v>
      </c>
      <c r="P62" s="115">
        <v>9.8262346404961889</v>
      </c>
      <c r="Q62" s="115">
        <v>16.60011252595551</v>
      </c>
      <c r="R62" s="115">
        <v>2.5262624612889852</v>
      </c>
      <c r="S62" s="115">
        <v>63.028731614140717</v>
      </c>
      <c r="T62" s="114">
        <v>0.12729470722605929</v>
      </c>
      <c r="U62" s="114">
        <v>0.13901228111964897</v>
      </c>
      <c r="V62" s="114">
        <v>8.1871566618368558E-2</v>
      </c>
      <c r="W62" s="114">
        <v>0.78162912648764704</v>
      </c>
      <c r="X62" s="114">
        <v>7.8569825148200795E-2</v>
      </c>
      <c r="Y62" s="114">
        <v>0.45147786660172823</v>
      </c>
      <c r="Z62" s="114">
        <v>0.45147786660172828</v>
      </c>
      <c r="AA62" s="116">
        <v>0.19299429386955849</v>
      </c>
    </row>
    <row r="63" spans="1:27">
      <c r="A63" s="112" t="s">
        <v>228</v>
      </c>
      <c r="B63" s="113">
        <v>349</v>
      </c>
      <c r="C63" s="114">
        <v>-2.8980303030302934E-3</v>
      </c>
      <c r="D63" s="114">
        <v>5.3110933607089031E-2</v>
      </c>
      <c r="E63" s="114">
        <v>6.7448038963700607E-2</v>
      </c>
      <c r="F63" s="114">
        <v>0.17117068641900787</v>
      </c>
      <c r="G63" s="115">
        <v>0.8413789216293962</v>
      </c>
      <c r="H63" s="115">
        <v>0.89210157578794425</v>
      </c>
      <c r="I63" s="114">
        <v>6.0685050765385593E-2</v>
      </c>
      <c r="J63" s="114">
        <v>0.29133936354608264</v>
      </c>
      <c r="K63" s="114">
        <v>3.5299999999999998E-2</v>
      </c>
      <c r="L63" s="114">
        <v>0.26366196503726563</v>
      </c>
      <c r="M63" s="114">
        <v>5.15599894353257E-2</v>
      </c>
      <c r="N63" s="115">
        <v>1.4459996435778888</v>
      </c>
      <c r="O63" s="115">
        <v>1.1956138883047711</v>
      </c>
      <c r="P63" s="115">
        <v>11.159749707403003</v>
      </c>
      <c r="Q63" s="115">
        <v>21.710068056077088</v>
      </c>
      <c r="R63" s="115">
        <v>1.4320864259085992</v>
      </c>
      <c r="S63" s="115">
        <v>42.536716207015743</v>
      </c>
      <c r="T63" s="114">
        <v>0.13099245685414607</v>
      </c>
      <c r="U63" s="114">
        <v>3.202400619258669E-2</v>
      </c>
      <c r="V63" s="114">
        <v>1.4607083829178549E-2</v>
      </c>
      <c r="W63" s="114">
        <v>0.40752142866249491</v>
      </c>
      <c r="X63" s="114">
        <v>-7.5617011141083084E-3</v>
      </c>
      <c r="Y63" s="114">
        <v>5.3517990226082347E-3</v>
      </c>
      <c r="Z63" s="114">
        <v>5.3517990226081835E-3</v>
      </c>
      <c r="AA63" s="116">
        <v>5.2920243497923541E-2</v>
      </c>
    </row>
    <row r="64" spans="1:27">
      <c r="A64" s="112" t="s">
        <v>104</v>
      </c>
      <c r="B64" s="113">
        <v>799</v>
      </c>
      <c r="C64" s="114">
        <v>8.6019981981981936E-2</v>
      </c>
      <c r="D64" s="114">
        <v>0.33192199924165777</v>
      </c>
      <c r="E64" s="114">
        <v>2.8770244081453056E-2</v>
      </c>
      <c r="F64" s="114">
        <v>3.281903238390018E-2</v>
      </c>
      <c r="G64" s="115">
        <v>0.65765547175407968</v>
      </c>
      <c r="H64" s="115">
        <v>0.97308146980669319</v>
      </c>
      <c r="I64" s="114">
        <v>6.5349492660865524E-2</v>
      </c>
      <c r="J64" s="114">
        <v>0.23991832658607432</v>
      </c>
      <c r="K64" s="114">
        <v>2.8699999999999996E-2</v>
      </c>
      <c r="L64" s="114">
        <v>0.41473145740192324</v>
      </c>
      <c r="M64" s="114">
        <v>4.703959539077486E-2</v>
      </c>
      <c r="N64" s="115">
        <v>9.712516379373877E-2</v>
      </c>
      <c r="O64" s="115">
        <v>13.479584121122995</v>
      </c>
      <c r="P64" s="115">
        <v>23.079362984011247</v>
      </c>
      <c r="Q64" s="115">
        <v>38.374803062308551</v>
      </c>
      <c r="R64" s="115">
        <v>1.6184680498795514</v>
      </c>
      <c r="S64" s="115">
        <v>44.446789438883251</v>
      </c>
      <c r="T64" s="114">
        <v>0.63302539385731937</v>
      </c>
      <c r="U64" s="114">
        <v>5.3967155958592299E-2</v>
      </c>
      <c r="V64" s="114">
        <v>-1.4477526167262103E-2</v>
      </c>
      <c r="W64" s="114">
        <v>-9.996460952430954E-3</v>
      </c>
      <c r="X64" s="114">
        <v>7.9575067859630026E-3</v>
      </c>
      <c r="Y64" s="114">
        <v>8.2336380117081376</v>
      </c>
      <c r="Z64" s="114">
        <v>8.2336380117081376</v>
      </c>
      <c r="AA64" s="116">
        <v>0.30349073620407813</v>
      </c>
    </row>
    <row r="65" spans="1:27">
      <c r="A65" s="112" t="s">
        <v>105</v>
      </c>
      <c r="B65" s="113">
        <v>890</v>
      </c>
      <c r="C65" s="114">
        <v>6.8880126984126974E-2</v>
      </c>
      <c r="D65" s="114">
        <v>0.17309142985975756</v>
      </c>
      <c r="E65" s="114">
        <v>8.2840318131915391E-2</v>
      </c>
      <c r="F65" s="114">
        <v>0.35866183116359035</v>
      </c>
      <c r="G65" s="115">
        <v>0.52297738637044211</v>
      </c>
      <c r="H65" s="115">
        <v>0.94385991476418518</v>
      </c>
      <c r="I65" s="114">
        <v>6.3666331090417069E-2</v>
      </c>
      <c r="J65" s="114">
        <v>0.26438414331101134</v>
      </c>
      <c r="K65" s="114">
        <v>3.5299999999999998E-2</v>
      </c>
      <c r="L65" s="114">
        <v>0.63749769715496851</v>
      </c>
      <c r="M65" s="114">
        <v>3.9702651709730058E-2</v>
      </c>
      <c r="N65" s="115">
        <v>0.57103057091977594</v>
      </c>
      <c r="O65" s="115">
        <v>1.8547413109907804</v>
      </c>
      <c r="P65" s="115">
        <v>9.4836784228265252</v>
      </c>
      <c r="Q65" s="115">
        <v>10.169019132006383</v>
      </c>
      <c r="R65" s="115">
        <v>0.68027997169056365</v>
      </c>
      <c r="S65" s="115">
        <v>62.626584249254201</v>
      </c>
      <c r="T65" s="114">
        <v>1.9282397527828392</v>
      </c>
      <c r="U65" s="114">
        <v>3.0484546501111057E-2</v>
      </c>
      <c r="V65" s="114">
        <v>3.4722096325413634E-2</v>
      </c>
      <c r="W65" s="114">
        <v>1.0371731971148419</v>
      </c>
      <c r="X65" s="114">
        <v>0.10436126084927606</v>
      </c>
      <c r="Y65" s="114">
        <v>0.69212862892827143</v>
      </c>
      <c r="Z65" s="114">
        <v>0.69212862892827143</v>
      </c>
      <c r="AA65" s="116">
        <v>0.17305495372407725</v>
      </c>
    </row>
    <row r="66" spans="1:27">
      <c r="A66" s="112" t="s">
        <v>106</v>
      </c>
      <c r="B66" s="113">
        <v>364</v>
      </c>
      <c r="C66" s="114">
        <v>5.4101213114754083E-2</v>
      </c>
      <c r="D66" s="114">
        <v>0.16292815008764083</v>
      </c>
      <c r="E66" s="114">
        <v>3.8877756570155166E-2</v>
      </c>
      <c r="F66" s="114">
        <v>0.31953806046087424</v>
      </c>
      <c r="G66" s="115">
        <v>0.59744954199837219</v>
      </c>
      <c r="H66" s="115">
        <v>0.9921666342329557</v>
      </c>
      <c r="I66" s="114">
        <v>6.644879813181824E-2</v>
      </c>
      <c r="J66" s="114">
        <v>0.2440071950568731</v>
      </c>
      <c r="K66" s="114">
        <v>2.8699999999999996E-2</v>
      </c>
      <c r="L66" s="114">
        <v>0.53088864410692305</v>
      </c>
      <c r="M66" s="114">
        <v>4.2427091357313818E-2</v>
      </c>
      <c r="N66" s="115">
        <v>0.28406043605540698</v>
      </c>
      <c r="O66" s="115">
        <v>3.348591030148532</v>
      </c>
      <c r="P66" s="115">
        <v>13.556066545288195</v>
      </c>
      <c r="Q66" s="115">
        <v>19.503974009957378</v>
      </c>
      <c r="R66" s="115">
        <v>0.73474768403642565</v>
      </c>
      <c r="S66" s="115">
        <v>99.044684881742228</v>
      </c>
      <c r="T66" s="114">
        <v>0.98915897173713607</v>
      </c>
      <c r="U66" s="114">
        <v>0.10068085437466272</v>
      </c>
      <c r="V66" s="114">
        <v>8.8663781195840133E-2</v>
      </c>
      <c r="W66" s="114">
        <v>1.365704367203274</v>
      </c>
      <c r="X66" s="114">
        <v>3.9049595073957596E-2</v>
      </c>
      <c r="Y66" s="114">
        <v>0.83986435083008759</v>
      </c>
      <c r="Z66" s="114">
        <v>0.83986435083008759</v>
      </c>
      <c r="AA66" s="116">
        <v>0.16139319735676311</v>
      </c>
    </row>
    <row r="67" spans="1:27">
      <c r="A67" s="112" t="s">
        <v>107</v>
      </c>
      <c r="B67" s="113">
        <v>720</v>
      </c>
      <c r="C67" s="114">
        <v>8.0427136659436071E-2</v>
      </c>
      <c r="D67" s="114">
        <v>0.23224845502814612</v>
      </c>
      <c r="E67" s="114">
        <v>4.6013002742450404E-2</v>
      </c>
      <c r="F67" s="114">
        <v>0.23848763936015505</v>
      </c>
      <c r="G67" s="115">
        <v>0.53490595579285283</v>
      </c>
      <c r="H67" s="115">
        <v>0.81223671213622317</v>
      </c>
      <c r="I67" s="114">
        <v>5.6084834619046453E-2</v>
      </c>
      <c r="J67" s="114">
        <v>0.2502594665830582</v>
      </c>
      <c r="K67" s="114">
        <v>3.5299999999999998E-2</v>
      </c>
      <c r="L67" s="114">
        <v>0.45056320018051071</v>
      </c>
      <c r="M67" s="114">
        <v>4.2564007621353206E-2</v>
      </c>
      <c r="N67" s="115">
        <v>0.22343757031692119</v>
      </c>
      <c r="O67" s="115">
        <v>6.459546711372596</v>
      </c>
      <c r="P67" s="115">
        <v>20.781192619274044</v>
      </c>
      <c r="Q67" s="115">
        <v>24.12613150820831</v>
      </c>
      <c r="R67" s="115">
        <v>1.0773780504882806</v>
      </c>
      <c r="S67" s="115">
        <v>58.529352569681656</v>
      </c>
      <c r="T67" s="114">
        <v>0.21535388722149859</v>
      </c>
      <c r="U67" s="114">
        <v>3.2452644034367248E-2</v>
      </c>
      <c r="V67" s="114">
        <v>5.8415095055054524E-2</v>
      </c>
      <c r="W67" s="114">
        <v>0.36316963079833892</v>
      </c>
      <c r="X67" s="114">
        <v>5.084537870279203E-2</v>
      </c>
      <c r="Y67" s="114">
        <v>0.48889219124087152</v>
      </c>
      <c r="Z67" s="114">
        <v>0.48889219124087147</v>
      </c>
      <c r="AA67" s="116">
        <v>0.24067439829514758</v>
      </c>
    </row>
    <row r="68" spans="1:27">
      <c r="A68" s="112" t="s">
        <v>108</v>
      </c>
      <c r="B68" s="113">
        <v>331</v>
      </c>
      <c r="C68" s="114">
        <v>4.2859734513274496E-3</v>
      </c>
      <c r="D68" s="114">
        <v>8.0479592132781844E-2</v>
      </c>
      <c r="E68" s="114">
        <v>6.6709877734916337E-2</v>
      </c>
      <c r="F68" s="114">
        <v>0.24965599001655334</v>
      </c>
      <c r="G68" s="115">
        <v>0.93460705605402128</v>
      </c>
      <c r="H68" s="115">
        <v>1.0117609591830119</v>
      </c>
      <c r="I68" s="114">
        <v>6.7577431248941486E-2</v>
      </c>
      <c r="J68" s="114">
        <v>0.33210412200889905</v>
      </c>
      <c r="K68" s="114">
        <v>3.5299999999999998E-2</v>
      </c>
      <c r="L68" s="114">
        <v>0.2003215277363509</v>
      </c>
      <c r="M68" s="114">
        <v>5.9263823173276449E-2</v>
      </c>
      <c r="N68" s="115">
        <v>0.94694420257915346</v>
      </c>
      <c r="O68" s="115">
        <v>3.3730539906020716</v>
      </c>
      <c r="P68" s="115">
        <v>20.530262823460074</v>
      </c>
      <c r="Q68" s="115">
        <v>39.257498216670399</v>
      </c>
      <c r="R68" s="115">
        <v>3.7015014835215094</v>
      </c>
      <c r="S68" s="115">
        <v>71.571198523185913</v>
      </c>
      <c r="T68" s="114">
        <v>0.34595963119417467</v>
      </c>
      <c r="U68" s="114">
        <v>6.9103137539471046E-2</v>
      </c>
      <c r="V68" s="114">
        <v>6.9276019252980256E-2</v>
      </c>
      <c r="W68" s="114">
        <v>1.4473768355146879</v>
      </c>
      <c r="X68" s="114">
        <v>2.7920977873711991E-2</v>
      </c>
      <c r="Y68" s="114">
        <v>1.9260136266613193</v>
      </c>
      <c r="Z68" s="114">
        <v>1.9260136266613193</v>
      </c>
      <c r="AA68" s="116">
        <v>7.975210556387026E-2</v>
      </c>
    </row>
    <row r="69" spans="1:27">
      <c r="A69" s="112" t="s">
        <v>109</v>
      </c>
      <c r="B69" s="113">
        <v>37</v>
      </c>
      <c r="C69" s="114">
        <v>4.2927096774193554E-2</v>
      </c>
      <c r="D69" s="114">
        <v>3.7978976974457811E-2</v>
      </c>
      <c r="E69" s="114">
        <v>5.1770973043944311E-2</v>
      </c>
      <c r="F69" s="114">
        <v>0.13758415221248849</v>
      </c>
      <c r="G69" s="115">
        <v>1.2520897822012522</v>
      </c>
      <c r="H69" s="115">
        <v>1.2696688592443122</v>
      </c>
      <c r="I69" s="114">
        <v>8.2432926292472383E-2</v>
      </c>
      <c r="J69" s="114">
        <v>0.28791202923342046</v>
      </c>
      <c r="K69" s="114">
        <v>3.5299999999999998E-2</v>
      </c>
      <c r="L69" s="114">
        <v>0.23724363082006256</v>
      </c>
      <c r="M69" s="114">
        <v>6.9062630573786976E-2</v>
      </c>
      <c r="N69" s="115">
        <v>1.5344867802693369</v>
      </c>
      <c r="O69" s="115">
        <v>0.66817980021924561</v>
      </c>
      <c r="P69" s="115">
        <v>11.422737106280737</v>
      </c>
      <c r="Q69" s="115">
        <v>13.94519406019538</v>
      </c>
      <c r="R69" s="115">
        <v>0.90525096289028206</v>
      </c>
      <c r="S69" s="115">
        <v>188.43989619220079</v>
      </c>
      <c r="T69" s="114">
        <v>-0.41179426502563449</v>
      </c>
      <c r="U69" s="114">
        <v>1.6419803986456364E-3</v>
      </c>
      <c r="V69" s="114">
        <v>-7.5566665480678404E-5</v>
      </c>
      <c r="W69" s="114">
        <v>0.25394574631979033</v>
      </c>
      <c r="X69" s="114">
        <v>3.3419604200959754E-2</v>
      </c>
      <c r="Y69" s="114">
        <v>0.93491435943590806</v>
      </c>
      <c r="Z69" s="114">
        <v>0.93491435943590806</v>
      </c>
      <c r="AA69" s="116">
        <v>3.7811858556204121E-2</v>
      </c>
    </row>
    <row r="70" spans="1:27">
      <c r="A70" s="112" t="s">
        <v>229</v>
      </c>
      <c r="B70" s="113">
        <v>379</v>
      </c>
      <c r="C70" s="114">
        <v>-5.2900396825396835E-3</v>
      </c>
      <c r="D70" s="114">
        <v>6.0159209417432434E-2</v>
      </c>
      <c r="E70" s="114">
        <v>5.4160782684192027E-2</v>
      </c>
      <c r="F70" s="114">
        <v>0.20919003982135809</v>
      </c>
      <c r="G70" s="115">
        <v>0.90397549168070235</v>
      </c>
      <c r="H70" s="115">
        <v>1.0980133691205789</v>
      </c>
      <c r="I70" s="114">
        <v>7.2545570061345349E-2</v>
      </c>
      <c r="J70" s="114">
        <v>0.31963507648362244</v>
      </c>
      <c r="K70" s="114">
        <v>3.5299999999999998E-2</v>
      </c>
      <c r="L70" s="114">
        <v>0.26738881524164293</v>
      </c>
      <c r="M70" s="114">
        <v>6.0120156190623372E-2</v>
      </c>
      <c r="N70" s="115">
        <v>1.4588560793159122</v>
      </c>
      <c r="O70" s="115">
        <v>3.3652569110653676</v>
      </c>
      <c r="P70" s="115">
        <v>22.801882704261608</v>
      </c>
      <c r="Q70" s="115">
        <v>80.661850474696365</v>
      </c>
      <c r="R70" s="115">
        <v>16.009171001178881</v>
      </c>
      <c r="S70" s="115">
        <v>127.2499841457048</v>
      </c>
      <c r="T70" s="114">
        <v>-3.5887537620460535E-3</v>
      </c>
      <c r="U70" s="114">
        <v>4.8738348219182638E-2</v>
      </c>
      <c r="V70" s="114">
        <v>6.9651134530397266E-3</v>
      </c>
      <c r="W70" s="114">
        <v>0.34964872209516107</v>
      </c>
      <c r="X70" s="114">
        <v>5.1712395508900395E-2</v>
      </c>
      <c r="Y70" s="114">
        <v>4.5950242823444132</v>
      </c>
      <c r="Z70" s="114">
        <v>4.5950242823444132</v>
      </c>
      <c r="AA70" s="116">
        <v>4.0266380717888239E-2</v>
      </c>
    </row>
    <row r="71" spans="1:27">
      <c r="A71" s="112" t="s">
        <v>110</v>
      </c>
      <c r="B71" s="113">
        <v>185</v>
      </c>
      <c r="C71" s="114">
        <v>3.5018931297709915E-2</v>
      </c>
      <c r="D71" s="114">
        <v>4.8965058541415592E-2</v>
      </c>
      <c r="E71" s="114">
        <v>8.3952322227083612E-2</v>
      </c>
      <c r="F71" s="114">
        <v>0.23661263900000701</v>
      </c>
      <c r="G71" s="115">
        <v>0.81980561082842807</v>
      </c>
      <c r="H71" s="115">
        <v>1.0700510989492495</v>
      </c>
      <c r="I71" s="114">
        <v>7.0934943299476777E-2</v>
      </c>
      <c r="J71" s="114">
        <v>0.30483746183514399</v>
      </c>
      <c r="K71" s="114">
        <v>3.5299999999999998E-2</v>
      </c>
      <c r="L71" s="114">
        <v>0.34597799233565452</v>
      </c>
      <c r="M71" s="114">
        <v>5.5414774216003999E-2</v>
      </c>
      <c r="N71" s="115">
        <v>2.2807705591323653</v>
      </c>
      <c r="O71" s="115">
        <v>0.95842436234808448</v>
      </c>
      <c r="P71" s="115">
        <v>11.88931397167438</v>
      </c>
      <c r="Q71" s="115">
        <v>19.810087509167047</v>
      </c>
      <c r="R71" s="115">
        <v>3.3757801421974696</v>
      </c>
      <c r="S71" s="115">
        <v>43.313102504874884</v>
      </c>
      <c r="T71" s="114">
        <v>0.11513950156342101</v>
      </c>
      <c r="U71" s="114">
        <v>2.3019766495647943E-2</v>
      </c>
      <c r="V71" s="114">
        <v>1.5418598616611984E-2</v>
      </c>
      <c r="W71" s="114">
        <v>3.9266418788244835E-3</v>
      </c>
      <c r="X71" s="114">
        <v>0.13992124464706138</v>
      </c>
      <c r="Y71" s="114">
        <v>0.36415347710442519</v>
      </c>
      <c r="Z71" s="114">
        <v>0.36415347710442525</v>
      </c>
      <c r="AA71" s="116">
        <v>4.449359451236929E-2</v>
      </c>
    </row>
    <row r="72" spans="1:27">
      <c r="A72" s="112" t="s">
        <v>111</v>
      </c>
      <c r="B72" s="113">
        <v>90</v>
      </c>
      <c r="C72" s="114">
        <v>2.8206250000000002E-2</v>
      </c>
      <c r="D72" s="114">
        <v>0.11623659269182686</v>
      </c>
      <c r="E72" s="114">
        <v>0.24982671398153575</v>
      </c>
      <c r="F72" s="114">
        <v>0.24939746537409957</v>
      </c>
      <c r="G72" s="115">
        <v>1.0567173048040781</v>
      </c>
      <c r="H72" s="115">
        <v>1.1443960173094869</v>
      </c>
      <c r="I72" s="114">
        <v>7.5217210597026449E-2</v>
      </c>
      <c r="J72" s="114">
        <v>0.28186126519449634</v>
      </c>
      <c r="K72" s="114">
        <v>3.5299999999999998E-2</v>
      </c>
      <c r="L72" s="114">
        <v>0.17020372300281458</v>
      </c>
      <c r="M72" s="114">
        <v>6.6853212322956712E-2</v>
      </c>
      <c r="N72" s="115">
        <v>2.7781158448277607</v>
      </c>
      <c r="O72" s="115">
        <v>1.8438475036111974</v>
      </c>
      <c r="P72" s="115">
        <v>12.329621707102721</v>
      </c>
      <c r="Q72" s="115">
        <v>16.215827826771573</v>
      </c>
      <c r="R72" s="115">
        <v>10.725438237273437</v>
      </c>
      <c r="S72" s="115">
        <v>46.211411663525737</v>
      </c>
      <c r="T72" s="114">
        <v>5.3156211252689739E-2</v>
      </c>
      <c r="U72" s="114">
        <v>2.0771525993902109E-2</v>
      </c>
      <c r="V72" s="114">
        <v>5.1231408000562435E-4</v>
      </c>
      <c r="W72" s="114">
        <v>-0.25475018889805434</v>
      </c>
      <c r="X72" s="114">
        <v>0.5515778855152732</v>
      </c>
      <c r="Y72" s="114">
        <v>0.43424734723278618</v>
      </c>
      <c r="Z72" s="114">
        <v>0.43424734723278613</v>
      </c>
      <c r="AA72" s="116">
        <v>0.11364826473151755</v>
      </c>
    </row>
    <row r="73" spans="1:27">
      <c r="A73" s="112" t="s">
        <v>112</v>
      </c>
      <c r="B73" s="113">
        <v>1022</v>
      </c>
      <c r="C73" s="114">
        <v>6.6209037138927049E-2</v>
      </c>
      <c r="D73" s="114">
        <v>3.6528182814979986E-2</v>
      </c>
      <c r="E73" s="114">
        <v>5.2280262972447665E-2</v>
      </c>
      <c r="F73" s="114">
        <v>0.23158351463796487</v>
      </c>
      <c r="G73" s="115">
        <v>0.56829921064285172</v>
      </c>
      <c r="H73" s="115">
        <v>0.83058623336352666</v>
      </c>
      <c r="I73" s="114">
        <v>5.7141767041739136E-2</v>
      </c>
      <c r="J73" s="114">
        <v>0.29102214535003457</v>
      </c>
      <c r="K73" s="114">
        <v>3.5299999999999998E-2</v>
      </c>
      <c r="L73" s="114">
        <v>0.46284679439490467</v>
      </c>
      <c r="M73" s="114">
        <v>4.2763127264198682E-2</v>
      </c>
      <c r="N73" s="115">
        <v>1.6753292969285181</v>
      </c>
      <c r="O73" s="115">
        <v>0.80827016123340822</v>
      </c>
      <c r="P73" s="115">
        <v>13.452513353995348</v>
      </c>
      <c r="Q73" s="115">
        <v>21.203287593586882</v>
      </c>
      <c r="R73" s="115">
        <v>1.3981699880791132</v>
      </c>
      <c r="S73" s="115">
        <v>66.680198816875958</v>
      </c>
      <c r="T73" s="114">
        <v>0.15310024632699371</v>
      </c>
      <c r="U73" s="114">
        <v>3.0185904977333783E-2</v>
      </c>
      <c r="V73" s="114">
        <v>2.4509913421407365E-2</v>
      </c>
      <c r="W73" s="114">
        <v>0.42864874122544977</v>
      </c>
      <c r="X73" s="114">
        <v>5.730397944045916E-2</v>
      </c>
      <c r="Y73" s="114">
        <v>0.75546371458309536</v>
      </c>
      <c r="Z73" s="114">
        <v>0.75546371458309536</v>
      </c>
      <c r="AA73" s="116">
        <v>3.6833456488232046E-2</v>
      </c>
    </row>
    <row r="74" spans="1:27">
      <c r="A74" s="112" t="s">
        <v>113</v>
      </c>
      <c r="B74" s="113">
        <v>217</v>
      </c>
      <c r="C74" s="114">
        <v>-1.1407988826815652E-2</v>
      </c>
      <c r="D74" s="114">
        <v>4.3138262543505806E-2</v>
      </c>
      <c r="E74" s="114">
        <v>8.6637332038437098E-2</v>
      </c>
      <c r="F74" s="114">
        <v>0.26860119219565864</v>
      </c>
      <c r="G74" s="115">
        <v>0.83601169289773625</v>
      </c>
      <c r="H74" s="115">
        <v>0.99262972496568336</v>
      </c>
      <c r="I74" s="114">
        <v>6.6475472158023366E-2</v>
      </c>
      <c r="J74" s="114">
        <v>0.2572793768540807</v>
      </c>
      <c r="K74" s="114">
        <v>3.5299999999999998E-2</v>
      </c>
      <c r="L74" s="114">
        <v>0.26948287835953866</v>
      </c>
      <c r="M74" s="114">
        <v>5.5588535759789809E-2</v>
      </c>
      <c r="N74" s="115">
        <v>2.7138331674586369</v>
      </c>
      <c r="O74" s="115">
        <v>0.96450126377570633</v>
      </c>
      <c r="P74" s="115">
        <v>12.760976623828352</v>
      </c>
      <c r="Q74" s="115">
        <v>24.542236626760943</v>
      </c>
      <c r="R74" s="115">
        <v>3.3377367920575516</v>
      </c>
      <c r="S74" s="115">
        <v>61.885892413707744</v>
      </c>
      <c r="T74" s="114">
        <v>-1.8599070726929373E-2</v>
      </c>
      <c r="U74" s="114">
        <v>2.4105534937314807E-2</v>
      </c>
      <c r="V74" s="114">
        <v>1.8030789783290541E-3</v>
      </c>
      <c r="W74" s="114">
        <v>-0.15302365996144848</v>
      </c>
      <c r="X74" s="114">
        <v>9.9889442292963107E-2</v>
      </c>
      <c r="Y74" s="114">
        <v>0.55814370597192031</v>
      </c>
      <c r="Z74" s="114">
        <v>0.55814370597192031</v>
      </c>
      <c r="AA74" s="116">
        <v>3.8765642590881264E-2</v>
      </c>
    </row>
    <row r="75" spans="1:27">
      <c r="A75" s="112" t="s">
        <v>114</v>
      </c>
      <c r="B75" s="113">
        <v>171</v>
      </c>
      <c r="C75" s="114">
        <v>3.7350583941605835E-2</v>
      </c>
      <c r="D75" s="114">
        <v>4.3094298950985432E-2</v>
      </c>
      <c r="E75" s="114">
        <v>0.11086978401287294</v>
      </c>
      <c r="F75" s="114">
        <v>0.25332773789268748</v>
      </c>
      <c r="G75" s="115">
        <v>0.46899598303943174</v>
      </c>
      <c r="H75" s="115">
        <v>0.62090837887265571</v>
      </c>
      <c r="I75" s="114">
        <v>4.5064322623064965E-2</v>
      </c>
      <c r="J75" s="114">
        <v>0.21914600518311636</v>
      </c>
      <c r="K75" s="114">
        <v>2.8699999999999996E-2</v>
      </c>
      <c r="L75" s="114">
        <v>0.37545613633961356</v>
      </c>
      <c r="M75" s="114">
        <v>3.6104575319381035E-2</v>
      </c>
      <c r="N75" s="115">
        <v>3.3962154280606267</v>
      </c>
      <c r="O75" s="115">
        <v>0.63544203923178744</v>
      </c>
      <c r="P75" s="115">
        <v>9.0462257452135759</v>
      </c>
      <c r="Q75" s="115">
        <v>15.416222137347557</v>
      </c>
      <c r="R75" s="115">
        <v>2.2766364814256095</v>
      </c>
      <c r="S75" s="115">
        <v>53.404036302266277</v>
      </c>
      <c r="T75" s="114">
        <v>-3.3136682251077437E-2</v>
      </c>
      <c r="U75" s="114">
        <v>2.6463753248374321E-2</v>
      </c>
      <c r="V75" s="114">
        <v>4.593110317627414E-3</v>
      </c>
      <c r="W75" s="114">
        <v>0.24827958855405888</v>
      </c>
      <c r="X75" s="114">
        <v>0.11408848077040329</v>
      </c>
      <c r="Y75" s="114">
        <v>0.47073005262944217</v>
      </c>
      <c r="Z75" s="114">
        <v>0.47073005262944223</v>
      </c>
      <c r="AA75" s="116">
        <v>4.1113843015044331E-2</v>
      </c>
    </row>
    <row r="76" spans="1:27">
      <c r="A76" s="112" t="s">
        <v>230</v>
      </c>
      <c r="B76" s="113">
        <v>356</v>
      </c>
      <c r="C76" s="114">
        <v>0.13381464864864856</v>
      </c>
      <c r="D76" s="114">
        <v>4.7501794676898801E-2</v>
      </c>
      <c r="E76" s="114">
        <v>8.6685342227960663E-2</v>
      </c>
      <c r="F76" s="114">
        <v>0.14081453314852424</v>
      </c>
      <c r="G76" s="115">
        <v>1.3114219547764037</v>
      </c>
      <c r="H76" s="115">
        <v>1.3113857544279961</v>
      </c>
      <c r="I76" s="114">
        <v>8.4835819455052572E-2</v>
      </c>
      <c r="J76" s="114">
        <v>0.39838728471446971</v>
      </c>
      <c r="K76" s="114">
        <v>3.5299999999999998E-2</v>
      </c>
      <c r="L76" s="114">
        <v>5.7376931772636933E-2</v>
      </c>
      <c r="M76" s="114">
        <v>8.1464367614670061E-2</v>
      </c>
      <c r="N76" s="115">
        <v>1.7599439509309411</v>
      </c>
      <c r="O76" s="115">
        <v>5.0633735068431669</v>
      </c>
      <c r="P76" s="115">
        <v>36.225688454599883</v>
      </c>
      <c r="Q76" s="115">
        <v>91.768729792634659</v>
      </c>
      <c r="R76" s="115">
        <v>8.839980484615392</v>
      </c>
      <c r="S76" s="115">
        <v>110.83377838843676</v>
      </c>
      <c r="T76" s="114">
        <v>-2.9669413385307424E-2</v>
      </c>
      <c r="U76" s="114">
        <v>6.3584441187582469E-2</v>
      </c>
      <c r="V76" s="114">
        <v>3.987692127301868E-2</v>
      </c>
      <c r="W76" s="114">
        <v>0.98199809500669966</v>
      </c>
      <c r="X76" s="114">
        <v>0.14894789455396087</v>
      </c>
      <c r="Y76" s="114">
        <v>5.0312735130040975E-2</v>
      </c>
      <c r="Z76" s="114">
        <v>5.0312735130040975E-2</v>
      </c>
      <c r="AA76" s="116">
        <v>5.3846064430240315E-2</v>
      </c>
    </row>
    <row r="77" spans="1:27">
      <c r="A77" s="112" t="s">
        <v>115</v>
      </c>
      <c r="B77" s="113">
        <v>480</v>
      </c>
      <c r="C77" s="114">
        <v>1.5052514124293804E-2</v>
      </c>
      <c r="D77" s="114">
        <v>3.469280758405615E-2</v>
      </c>
      <c r="E77" s="114">
        <v>6.3930733080343402E-2</v>
      </c>
      <c r="F77" s="114">
        <v>0.27420141871305542</v>
      </c>
      <c r="G77" s="115">
        <v>0.95884751887749875</v>
      </c>
      <c r="H77" s="115">
        <v>1.0890217337097654</v>
      </c>
      <c r="I77" s="114">
        <v>7.2027651861682487E-2</v>
      </c>
      <c r="J77" s="114">
        <v>0.32035357389332297</v>
      </c>
      <c r="K77" s="114">
        <v>3.5299999999999998E-2</v>
      </c>
      <c r="L77" s="114">
        <v>0.2528564569561445</v>
      </c>
      <c r="M77" s="114">
        <v>6.04085077948655E-2</v>
      </c>
      <c r="N77" s="115">
        <v>2.2360887564996141</v>
      </c>
      <c r="O77" s="115">
        <v>1.3044020396015177</v>
      </c>
      <c r="P77" s="115">
        <v>14.286604286405765</v>
      </c>
      <c r="Q77" s="115">
        <v>38.133243189816746</v>
      </c>
      <c r="R77" s="115">
        <v>4.053750466850901</v>
      </c>
      <c r="S77" s="115">
        <v>38.358792442424424</v>
      </c>
      <c r="T77" s="114">
        <v>6.0552781174375542E-2</v>
      </c>
      <c r="U77" s="114">
        <v>1.7110484458779003E-2</v>
      </c>
      <c r="V77" s="114">
        <v>-6.444298860516757E-3</v>
      </c>
      <c r="W77" s="114">
        <v>-1.0135662397922771</v>
      </c>
      <c r="X77" s="114">
        <v>2.2919820972104276E-2</v>
      </c>
      <c r="Y77" s="114">
        <v>2.0173268130575543</v>
      </c>
      <c r="Z77" s="114">
        <v>2.0173268130575543</v>
      </c>
      <c r="AA77" s="116">
        <v>3.317893941801664E-2</v>
      </c>
    </row>
    <row r="78" spans="1:27">
      <c r="A78" s="112" t="s">
        <v>116</v>
      </c>
      <c r="B78" s="113">
        <v>92</v>
      </c>
      <c r="C78" s="114">
        <v>3.0562121212121219E-3</v>
      </c>
      <c r="D78" s="114">
        <v>5.6216340825908664E-2</v>
      </c>
      <c r="E78" s="114">
        <v>4.4223517068392171E-2</v>
      </c>
      <c r="F78" s="114">
        <v>0.29952356213392439</v>
      </c>
      <c r="G78" s="115">
        <v>0.85869462811447239</v>
      </c>
      <c r="H78" s="115">
        <v>1.0440216408610408</v>
      </c>
      <c r="I78" s="114">
        <v>6.9435646513595947E-2</v>
      </c>
      <c r="J78" s="114">
        <v>0.25607853647573625</v>
      </c>
      <c r="K78" s="114">
        <v>3.5299999999999998E-2</v>
      </c>
      <c r="L78" s="114">
        <v>0.34330448992494217</v>
      </c>
      <c r="M78" s="114">
        <v>5.455012294741398E-2</v>
      </c>
      <c r="N78" s="115">
        <v>0.99941594508537157</v>
      </c>
      <c r="O78" s="115">
        <v>1.1802286452530013</v>
      </c>
      <c r="P78" s="115">
        <v>8.3949195258306482</v>
      </c>
      <c r="Q78" s="115">
        <v>20.156345820775165</v>
      </c>
      <c r="R78" s="115">
        <v>1.3309983571384347</v>
      </c>
      <c r="S78" s="115">
        <v>30.654901894650372</v>
      </c>
      <c r="T78" s="114">
        <v>0.19354105745315298</v>
      </c>
      <c r="U78" s="114">
        <v>5.4716801454572007E-2</v>
      </c>
      <c r="V78" s="114">
        <v>1.1382795561056465E-2</v>
      </c>
      <c r="W78" s="114">
        <v>-0.1249399737415639</v>
      </c>
      <c r="X78" s="114">
        <v>2.6500831319809709E-2</v>
      </c>
      <c r="Y78" s="114">
        <v>1.1037913523011518</v>
      </c>
      <c r="Z78" s="114">
        <v>1.1037913523011518</v>
      </c>
      <c r="AA78" s="116">
        <v>5.3900338071794118E-2</v>
      </c>
    </row>
    <row r="79" spans="1:27">
      <c r="A79" s="112" t="s">
        <v>117</v>
      </c>
      <c r="B79" s="113">
        <v>565</v>
      </c>
      <c r="C79" s="114">
        <v>4.5546287703016206E-2</v>
      </c>
      <c r="D79" s="114">
        <v>0.18192554429090721</v>
      </c>
      <c r="E79" s="114">
        <v>0.13957824407992553</v>
      </c>
      <c r="F79" s="114">
        <v>0.12092342441406735</v>
      </c>
      <c r="G79" s="115">
        <v>1.4320884315366331</v>
      </c>
      <c r="H79" s="115">
        <v>1.4604657403163814</v>
      </c>
      <c r="I79" s="114">
        <v>9.3422826642223566E-2</v>
      </c>
      <c r="J79" s="114">
        <v>0.32400335626226773</v>
      </c>
      <c r="K79" s="114">
        <v>3.5299999999999998E-2</v>
      </c>
      <c r="L79" s="114">
        <v>8.494679491689297E-2</v>
      </c>
      <c r="M79" s="114">
        <v>8.7701938915290503E-2</v>
      </c>
      <c r="N79" s="115">
        <v>0.79821829016905088</v>
      </c>
      <c r="O79" s="115">
        <v>5.9556890737208183</v>
      </c>
      <c r="P79" s="115">
        <v>17.813177456921434</v>
      </c>
      <c r="Q79" s="115">
        <v>31.938803435592277</v>
      </c>
      <c r="R79" s="115">
        <v>5.3118109391692716</v>
      </c>
      <c r="S79" s="115">
        <v>254.64890293126535</v>
      </c>
      <c r="T79" s="114">
        <v>0.16627383510342844</v>
      </c>
      <c r="U79" s="114">
        <v>0.15668921634728375</v>
      </c>
      <c r="V79" s="114">
        <v>0.14784538643129233</v>
      </c>
      <c r="W79" s="114">
        <v>1.0165541100549904</v>
      </c>
      <c r="X79" s="114">
        <v>0.16885649393948046</v>
      </c>
      <c r="Y79" s="114">
        <v>0.44421195260509733</v>
      </c>
      <c r="Z79" s="114">
        <v>0.44421195260509738</v>
      </c>
      <c r="AA79" s="116">
        <v>0.19154936218173299</v>
      </c>
    </row>
    <row r="80" spans="1:27">
      <c r="A80" s="112" t="s">
        <v>118</v>
      </c>
      <c r="B80" s="113">
        <v>308</v>
      </c>
      <c r="C80" s="114">
        <v>7.1497276995305142E-2</v>
      </c>
      <c r="D80" s="114">
        <v>0.18844245302525117</v>
      </c>
      <c r="E80" s="114">
        <v>0.18607449770217854</v>
      </c>
      <c r="F80" s="114">
        <v>0.16105200100995765</v>
      </c>
      <c r="G80" s="115">
        <v>1.7312795141670492</v>
      </c>
      <c r="H80" s="115">
        <v>1.725312705976888</v>
      </c>
      <c r="I80" s="114">
        <v>0.10867801186426874</v>
      </c>
      <c r="J80" s="114">
        <v>0.3370362624649953</v>
      </c>
      <c r="K80" s="114">
        <v>3.5299999999999998E-2</v>
      </c>
      <c r="L80" s="114">
        <v>5.9052605831114234E-2</v>
      </c>
      <c r="M80" s="114">
        <v>0.10380015431257771</v>
      </c>
      <c r="N80" s="115">
        <v>1.0826223177464123</v>
      </c>
      <c r="O80" s="115">
        <v>5.5753156228002796</v>
      </c>
      <c r="P80" s="115">
        <v>22.859631022634719</v>
      </c>
      <c r="Q80" s="115">
        <v>29.164732876275398</v>
      </c>
      <c r="R80" s="115">
        <v>6.6997819372687974</v>
      </c>
      <c r="S80" s="115">
        <v>84.832888778897811</v>
      </c>
      <c r="T80" s="114">
        <v>0.29828142612368935</v>
      </c>
      <c r="U80" s="114">
        <v>5.957357751597131E-2</v>
      </c>
      <c r="V80" s="114">
        <v>3.6570509984575755E-2</v>
      </c>
      <c r="W80" s="114">
        <v>0.38196691385749265</v>
      </c>
      <c r="X80" s="114">
        <v>0.2138047091400965</v>
      </c>
      <c r="Y80" s="114">
        <v>0.31507257362441277</v>
      </c>
      <c r="Z80" s="114">
        <v>0.31507257362441277</v>
      </c>
      <c r="AA80" s="116">
        <v>0.19694364226538294</v>
      </c>
    </row>
    <row r="81" spans="1:27">
      <c r="A81" s="112" t="s">
        <v>119</v>
      </c>
      <c r="B81" s="113">
        <v>353</v>
      </c>
      <c r="C81" s="114">
        <v>1.5926799999999998E-2</v>
      </c>
      <c r="D81" s="114">
        <v>8.1758576704578881E-2</v>
      </c>
      <c r="E81" s="114">
        <v>4.9673200879553091E-2</v>
      </c>
      <c r="F81" s="114">
        <v>0.19102891193397079</v>
      </c>
      <c r="G81" s="115">
        <v>0.76336169446436286</v>
      </c>
      <c r="H81" s="115">
        <v>1.02883186828969</v>
      </c>
      <c r="I81" s="114">
        <v>6.8560715613486145E-2</v>
      </c>
      <c r="J81" s="114">
        <v>0.26290355041098717</v>
      </c>
      <c r="K81" s="114">
        <v>3.5299999999999998E-2</v>
      </c>
      <c r="L81" s="114">
        <v>0.40193307768280934</v>
      </c>
      <c r="M81" s="114">
        <v>5.1484747325117299E-2</v>
      </c>
      <c r="N81" s="115">
        <v>0.68392948716062241</v>
      </c>
      <c r="O81" s="115">
        <v>1.9276378810897623</v>
      </c>
      <c r="P81" s="115">
        <v>11.541776817028166</v>
      </c>
      <c r="Q81" s="115">
        <v>22.599930441373402</v>
      </c>
      <c r="R81" s="115">
        <v>1.2412284068863078</v>
      </c>
      <c r="S81" s="115">
        <v>915.77185787089013</v>
      </c>
      <c r="T81" s="114">
        <v>-6.8013382777246589E-4</v>
      </c>
      <c r="U81" s="114">
        <v>9.4533054043486997E-2</v>
      </c>
      <c r="V81" s="114">
        <v>3.2216609402805532E-2</v>
      </c>
      <c r="W81" s="114">
        <v>0.42718571231971092</v>
      </c>
      <c r="X81" s="114">
        <v>5.6814682243113451E-2</v>
      </c>
      <c r="Y81" s="114">
        <v>0.61792835529138956</v>
      </c>
      <c r="Z81" s="114">
        <v>0.61792835529138956</v>
      </c>
      <c r="AA81" s="116">
        <v>8.3531103834210599E-2</v>
      </c>
    </row>
    <row r="82" spans="1:27">
      <c r="A82" s="112" t="s">
        <v>120</v>
      </c>
      <c r="B82" s="113">
        <v>79</v>
      </c>
      <c r="C82" s="114">
        <v>-5.8950819672131158E-2</v>
      </c>
      <c r="D82" s="114">
        <v>6.2580321486269477E-2</v>
      </c>
      <c r="E82" s="114">
        <v>9.4542948656638509E-2</v>
      </c>
      <c r="F82" s="114">
        <v>0.18568679154226103</v>
      </c>
      <c r="G82" s="115">
        <v>0.98624242045883892</v>
      </c>
      <c r="H82" s="115">
        <v>1.0070690763979555</v>
      </c>
      <c r="I82" s="114">
        <v>6.7307178800522241E-2</v>
      </c>
      <c r="J82" s="114">
        <v>0.29352069202434872</v>
      </c>
      <c r="K82" s="114">
        <v>3.5299999999999998E-2</v>
      </c>
      <c r="L82" s="114">
        <v>9.1303520465504648E-2</v>
      </c>
      <c r="M82" s="114">
        <v>6.3542637066479127E-2</v>
      </c>
      <c r="N82" s="115">
        <v>1.7204343077244941</v>
      </c>
      <c r="O82" s="115">
        <v>3.7349267766834107</v>
      </c>
      <c r="P82" s="115">
        <v>33.746685930031617</v>
      </c>
      <c r="Q82" s="115">
        <v>60.068377128714154</v>
      </c>
      <c r="R82" s="115">
        <v>7.7441210345607328</v>
      </c>
      <c r="S82" s="115">
        <v>108.91796356952068</v>
      </c>
      <c r="T82" s="114">
        <v>0.19765000133103522</v>
      </c>
      <c r="U82" s="114">
        <v>1.6273876099341878E-2</v>
      </c>
      <c r="V82" s="114">
        <v>-1.4453073537232009E-2</v>
      </c>
      <c r="W82" s="114">
        <v>-0.3975997882656982</v>
      </c>
      <c r="X82" s="114">
        <v>9.9506486398969238E-2</v>
      </c>
      <c r="Y82" s="114">
        <v>0.65382131432993185</v>
      </c>
      <c r="Z82" s="114">
        <v>0.65382131432993185</v>
      </c>
      <c r="AA82" s="116">
        <v>6.1575399541633519E-2</v>
      </c>
    </row>
    <row r="83" spans="1:27">
      <c r="A83" s="112" t="s">
        <v>231</v>
      </c>
      <c r="B83" s="113">
        <v>339</v>
      </c>
      <c r="C83" s="114">
        <v>8.1433511450381649E-2</v>
      </c>
      <c r="D83" s="114">
        <v>0.19779940546390076</v>
      </c>
      <c r="E83" s="114">
        <v>0.13999901760611586</v>
      </c>
      <c r="F83" s="114">
        <v>0.13926847603672909</v>
      </c>
      <c r="G83" s="115">
        <v>1.1300805915396532</v>
      </c>
      <c r="H83" s="115">
        <v>1.1310278949888313</v>
      </c>
      <c r="I83" s="114">
        <v>7.4447206751356687E-2</v>
      </c>
      <c r="J83" s="114">
        <v>0.42350712300861326</v>
      </c>
      <c r="K83" s="114">
        <v>3.9480000000000001E-2</v>
      </c>
      <c r="L83" s="114">
        <v>4.0670896823655392E-2</v>
      </c>
      <c r="M83" s="114">
        <v>7.2605493078536795E-2</v>
      </c>
      <c r="N83" s="115">
        <v>0.72647610459665724</v>
      </c>
      <c r="O83" s="115">
        <v>7.9912269512526448</v>
      </c>
      <c r="P83" s="115">
        <v>25.76099250146309</v>
      </c>
      <c r="Q83" s="115">
        <v>38.876107720162629</v>
      </c>
      <c r="R83" s="115">
        <v>5.9513650406406411</v>
      </c>
      <c r="S83" s="115">
        <v>122.10940688102315</v>
      </c>
      <c r="T83" s="114">
        <v>1.5369657864021155E-2</v>
      </c>
      <c r="U83" s="114">
        <v>0.10826051026723006</v>
      </c>
      <c r="V83" s="114">
        <v>7.1205729837922963E-2</v>
      </c>
      <c r="W83" s="114">
        <v>0.51132954419824661</v>
      </c>
      <c r="X83" s="114">
        <v>0.18416350954018229</v>
      </c>
      <c r="Y83" s="114">
        <v>3.7233493622504749E-2</v>
      </c>
      <c r="Z83" s="114">
        <v>3.7233493622504721E-2</v>
      </c>
      <c r="AA83" s="116">
        <v>0.21046397620895199</v>
      </c>
    </row>
    <row r="84" spans="1:27">
      <c r="A84" s="112" t="s">
        <v>232</v>
      </c>
      <c r="B84" s="113">
        <v>155</v>
      </c>
      <c r="C84" s="114">
        <v>0.23828485714285713</v>
      </c>
      <c r="D84" s="114">
        <v>3.6440699845695444E-2</v>
      </c>
      <c r="E84" s="114">
        <v>5.5094408123753727E-2</v>
      </c>
      <c r="F84" s="114">
        <v>0.12492018675446852</v>
      </c>
      <c r="G84" s="115">
        <v>0.93156693268285518</v>
      </c>
      <c r="H84" s="115">
        <v>0.94660920534477011</v>
      </c>
      <c r="I84" s="114">
        <v>6.3824690227858763E-2</v>
      </c>
      <c r="J84" s="114">
        <v>0.34767146121282888</v>
      </c>
      <c r="K84" s="114">
        <v>3.5299999999999998E-2</v>
      </c>
      <c r="L84" s="114">
        <v>7.0875005402865066E-2</v>
      </c>
      <c r="M84" s="114">
        <v>6.1149259400258789E-2</v>
      </c>
      <c r="N84" s="115">
        <v>1.2628020819928294</v>
      </c>
      <c r="O84" s="115">
        <v>11.15136637631543</v>
      </c>
      <c r="P84" s="115">
        <v>44.207544358611713</v>
      </c>
      <c r="Q84" s="115">
        <v>185.24787691360976</v>
      </c>
      <c r="R84" s="115">
        <v>12.485508913370875</v>
      </c>
      <c r="S84" s="115">
        <v>118.92128965027622</v>
      </c>
      <c r="T84" s="114">
        <v>1.9769669327639496E-2</v>
      </c>
      <c r="U84" s="114">
        <v>0.10426588483661711</v>
      </c>
      <c r="V84" s="114">
        <v>9.5336608359214162E-2</v>
      </c>
      <c r="W84" s="114">
        <v>4.1473461014491111</v>
      </c>
      <c r="X84" s="114">
        <v>-5.6416708432936453E-2</v>
      </c>
      <c r="Y84" s="114">
        <v>3.1733080923682742E-3</v>
      </c>
      <c r="Z84" s="114">
        <v>3.1733080923682655E-3</v>
      </c>
      <c r="AA84" s="116">
        <v>4.7170308121622366E-2</v>
      </c>
    </row>
    <row r="85" spans="1:27">
      <c r="A85" s="112" t="s">
        <v>233</v>
      </c>
      <c r="B85" s="113">
        <v>1478</v>
      </c>
      <c r="C85" s="114">
        <v>0.14366317819148941</v>
      </c>
      <c r="D85" s="114">
        <v>0.19819486778469864</v>
      </c>
      <c r="E85" s="114">
        <v>0.19306860147523508</v>
      </c>
      <c r="F85" s="114">
        <v>0.15879470254168898</v>
      </c>
      <c r="G85" s="115">
        <v>1.0613308954516849</v>
      </c>
      <c r="H85" s="115">
        <v>1.0751764312841539</v>
      </c>
      <c r="I85" s="114">
        <v>7.1230162441967254E-2</v>
      </c>
      <c r="J85" s="114">
        <v>0.40586043767737451</v>
      </c>
      <c r="K85" s="114">
        <v>3.9480000000000001E-2</v>
      </c>
      <c r="L85" s="114">
        <v>5.9969594038213246E-2</v>
      </c>
      <c r="M85" s="114">
        <v>6.8707464321347292E-2</v>
      </c>
      <c r="N85" s="115">
        <v>0.97572054685946008</v>
      </c>
      <c r="O85" s="115">
        <v>10.192194994552144</v>
      </c>
      <c r="P85" s="115">
        <v>30.915777527337742</v>
      </c>
      <c r="Q85" s="115">
        <v>44.660912682970327</v>
      </c>
      <c r="R85" s="115">
        <v>11.121994295690284</v>
      </c>
      <c r="S85" s="115">
        <v>187.92052246866453</v>
      </c>
      <c r="T85" s="114">
        <v>0.13524265747327346</v>
      </c>
      <c r="U85" s="114">
        <v>5.649354007628566E-2</v>
      </c>
      <c r="V85" s="114">
        <v>5.9872757753192049E-2</v>
      </c>
      <c r="W85" s="114">
        <v>0.43792853888115507</v>
      </c>
      <c r="X85" s="114">
        <v>0.20372488699604252</v>
      </c>
      <c r="Y85" s="114">
        <v>0.33252734321217636</v>
      </c>
      <c r="Z85" s="114">
        <v>0.33252734321217636</v>
      </c>
      <c r="AA85" s="116">
        <v>0.21440565747924001</v>
      </c>
    </row>
    <row r="86" spans="1:27">
      <c r="A86" s="112" t="s">
        <v>121</v>
      </c>
      <c r="B86" s="113">
        <v>718</v>
      </c>
      <c r="C86" s="114">
        <v>5.7176514598540125E-2</v>
      </c>
      <c r="D86" s="114">
        <v>4.4113221112797744E-2</v>
      </c>
      <c r="E86" s="114">
        <v>4.5429110101624433E-2</v>
      </c>
      <c r="F86" s="114">
        <v>0.2527171290774104</v>
      </c>
      <c r="G86" s="115">
        <v>0.93312499018839501</v>
      </c>
      <c r="H86" s="115">
        <v>1.1722376504299339</v>
      </c>
      <c r="I86" s="114">
        <v>7.6820888664764192E-2</v>
      </c>
      <c r="J86" s="114">
        <v>0.30402847090654683</v>
      </c>
      <c r="K86" s="114">
        <v>3.5299999999999998E-2</v>
      </c>
      <c r="L86" s="114">
        <v>0.362697328656645</v>
      </c>
      <c r="M86" s="114">
        <v>5.8415892999781505E-2</v>
      </c>
      <c r="N86" s="115">
        <v>1.144437849412679</v>
      </c>
      <c r="O86" s="115">
        <v>0.9879917832686349</v>
      </c>
      <c r="P86" s="115">
        <v>8.9570970344041889</v>
      </c>
      <c r="Q86" s="115">
        <v>21.063452122371071</v>
      </c>
      <c r="R86" s="115">
        <v>1.1867896318072497</v>
      </c>
      <c r="S86" s="115">
        <v>59.313619628286148</v>
      </c>
      <c r="T86" s="114">
        <v>0.14070318472506455</v>
      </c>
      <c r="U86" s="114">
        <v>6.2166447846835067E-2</v>
      </c>
      <c r="V86" s="114">
        <v>3.2149902021539091E-2</v>
      </c>
      <c r="W86" s="114">
        <v>0.50370635756311943</v>
      </c>
      <c r="X86" s="114">
        <v>2.4359119063152818E-2</v>
      </c>
      <c r="Y86" s="114">
        <v>1.540478737936398</v>
      </c>
      <c r="Z86" s="114">
        <v>1.540478737936398</v>
      </c>
      <c r="AA86" s="116">
        <v>4.524112420959029E-2</v>
      </c>
    </row>
    <row r="87" spans="1:27">
      <c r="A87" s="112" t="s">
        <v>122</v>
      </c>
      <c r="B87" s="113">
        <v>104</v>
      </c>
      <c r="C87" s="114">
        <v>1.129712328767123E-2</v>
      </c>
      <c r="D87" s="114">
        <v>0.14172166323860358</v>
      </c>
      <c r="E87" s="114">
        <v>8.5789505863004989E-2</v>
      </c>
      <c r="F87" s="114">
        <v>0.32416020594380718</v>
      </c>
      <c r="G87" s="115">
        <v>0.63042269245404914</v>
      </c>
      <c r="H87" s="115">
        <v>0.8717996947672737</v>
      </c>
      <c r="I87" s="114">
        <v>5.9515662418594961E-2</v>
      </c>
      <c r="J87" s="114">
        <v>0.26769007948317591</v>
      </c>
      <c r="K87" s="114">
        <v>3.5299999999999998E-2</v>
      </c>
      <c r="L87" s="114">
        <v>0.40088578105945444</v>
      </c>
      <c r="M87" s="114">
        <v>4.6110221328987955E-2</v>
      </c>
      <c r="N87" s="115">
        <v>0.73614874198061131</v>
      </c>
      <c r="O87" s="115">
        <v>2.2874208960226659</v>
      </c>
      <c r="P87" s="115">
        <v>6.9473535485504643</v>
      </c>
      <c r="Q87" s="115">
        <v>16.013579042440426</v>
      </c>
      <c r="R87" s="115">
        <v>1.5538168437458335</v>
      </c>
      <c r="S87" s="115">
        <v>46.652160068964285</v>
      </c>
      <c r="T87" s="114">
        <v>-6.548012195076866E-2</v>
      </c>
      <c r="U87" s="114">
        <v>0.11574632183757574</v>
      </c>
      <c r="V87" s="114">
        <v>-4.3822838719481012E-2</v>
      </c>
      <c r="W87" s="114">
        <v>-0.22911111777139614</v>
      </c>
      <c r="X87" s="114">
        <v>8.1864539936910882E-2</v>
      </c>
      <c r="Y87" s="114">
        <v>0.77554753199896864</v>
      </c>
      <c r="Z87" s="114">
        <v>0.77554753199896864</v>
      </c>
      <c r="AA87" s="116">
        <v>0.14067588103968898</v>
      </c>
    </row>
    <row r="88" spans="1:27">
      <c r="A88" s="112" t="s">
        <v>123</v>
      </c>
      <c r="B88" s="113">
        <v>482</v>
      </c>
      <c r="C88" s="114">
        <v>8.7316576576576613E-2</v>
      </c>
      <c r="D88" s="114">
        <v>0.10811698860678298</v>
      </c>
      <c r="E88" s="114">
        <v>0.12493117439397157</v>
      </c>
      <c r="F88" s="114">
        <v>0.19453377106949057</v>
      </c>
      <c r="G88" s="115">
        <v>1.0886826127954905</v>
      </c>
      <c r="H88" s="115">
        <v>1.1027535028105426</v>
      </c>
      <c r="I88" s="114">
        <v>7.2818601761887258E-2</v>
      </c>
      <c r="J88" s="114">
        <v>0.34267670226199187</v>
      </c>
      <c r="K88" s="114">
        <v>3.5299999999999998E-2</v>
      </c>
      <c r="L88" s="114">
        <v>0.12662594500512964</v>
      </c>
      <c r="M88" s="114">
        <v>6.6899789570643797E-2</v>
      </c>
      <c r="N88" s="115">
        <v>1.2140094925293565</v>
      </c>
      <c r="O88" s="115">
        <v>2.5246877752793999</v>
      </c>
      <c r="P88" s="115">
        <v>15.546740875831969</v>
      </c>
      <c r="Q88" s="115">
        <v>22.163962406463337</v>
      </c>
      <c r="R88" s="115">
        <v>3.6820040182671403</v>
      </c>
      <c r="S88" s="115">
        <v>105.51387671388321</v>
      </c>
      <c r="T88" s="114">
        <v>0.21751505575496946</v>
      </c>
      <c r="U88" s="114">
        <v>3.5460765672045792E-2</v>
      </c>
      <c r="V88" s="114">
        <v>2.6551918368723348E-2</v>
      </c>
      <c r="W88" s="114">
        <v>0.28776759230536864</v>
      </c>
      <c r="X88" s="114">
        <v>0.10415871121882829</v>
      </c>
      <c r="Y88" s="114">
        <v>0.61549183382473593</v>
      </c>
      <c r="Z88" s="114">
        <v>0.61549183382473593</v>
      </c>
      <c r="AA88" s="116">
        <v>0.11182273432588506</v>
      </c>
    </row>
    <row r="89" spans="1:27">
      <c r="A89" s="112" t="s">
        <v>124</v>
      </c>
      <c r="B89" s="113">
        <v>315</v>
      </c>
      <c r="C89" s="114">
        <v>9.9894976525821647E-2</v>
      </c>
      <c r="D89" s="114">
        <v>0.15080547353352663</v>
      </c>
      <c r="E89" s="114">
        <v>0.10274122736190537</v>
      </c>
      <c r="F89" s="114">
        <v>0.220952576674282</v>
      </c>
      <c r="G89" s="115">
        <v>0.51180783534925478</v>
      </c>
      <c r="H89" s="115">
        <v>0.7840792147688006</v>
      </c>
      <c r="I89" s="114">
        <v>5.446296277068291E-2</v>
      </c>
      <c r="J89" s="114">
        <v>0.29193877430611376</v>
      </c>
      <c r="K89" s="114">
        <v>3.5299999999999998E-2</v>
      </c>
      <c r="L89" s="114">
        <v>0.45010777901125387</v>
      </c>
      <c r="M89" s="114">
        <v>4.168581951695137E-2</v>
      </c>
      <c r="N89" s="115">
        <v>0.79025007692740246</v>
      </c>
      <c r="O89" s="115">
        <v>2.1599897266667432</v>
      </c>
      <c r="P89" s="115">
        <v>6.7947524926658938</v>
      </c>
      <c r="Q89" s="115">
        <v>14.388148270140736</v>
      </c>
      <c r="R89" s="115">
        <v>1.4762161132156635</v>
      </c>
      <c r="S89" s="115">
        <v>58.998804531458738</v>
      </c>
      <c r="T89" s="114">
        <v>2.265523762169849E-2</v>
      </c>
      <c r="U89" s="114">
        <v>0.13982079153583804</v>
      </c>
      <c r="V89" s="114">
        <v>-3.3231942792453117E-2</v>
      </c>
      <c r="W89" s="114">
        <v>-0.22878766696941064</v>
      </c>
      <c r="X89" s="114">
        <v>8.7788692896565129E-2</v>
      </c>
      <c r="Y89" s="114">
        <v>0.65617524920706727</v>
      </c>
      <c r="Z89" s="114">
        <v>0.65617524920706727</v>
      </c>
      <c r="AA89" s="116">
        <v>0.14947113889296235</v>
      </c>
    </row>
    <row r="90" spans="1:27">
      <c r="A90" s="112" t="s">
        <v>125</v>
      </c>
      <c r="B90" s="113">
        <v>57</v>
      </c>
      <c r="C90" s="114">
        <v>0.11853499999999999</v>
      </c>
      <c r="D90" s="114">
        <v>0.32805054543644013</v>
      </c>
      <c r="E90" s="114">
        <v>0.18583126680255094</v>
      </c>
      <c r="F90" s="114">
        <v>0.28830851573726501</v>
      </c>
      <c r="G90" s="115">
        <v>0.55103835870694917</v>
      </c>
      <c r="H90" s="115">
        <v>0.65023282639148672</v>
      </c>
      <c r="I90" s="114">
        <v>4.6753410800149636E-2</v>
      </c>
      <c r="J90" s="114">
        <v>0.24629626930957138</v>
      </c>
      <c r="K90" s="114">
        <v>2.8699999999999996E-2</v>
      </c>
      <c r="L90" s="114">
        <v>0.23956091766014292</v>
      </c>
      <c r="M90" s="114">
        <v>4.0631977556552366E-2</v>
      </c>
      <c r="N90" s="115">
        <v>0.67852160074091672</v>
      </c>
      <c r="O90" s="115">
        <v>3.8743720796808714</v>
      </c>
      <c r="P90" s="115">
        <v>10.354096600910401</v>
      </c>
      <c r="Q90" s="115">
        <v>11.76634269212936</v>
      </c>
      <c r="R90" s="115">
        <v>3.5809471082775559</v>
      </c>
      <c r="S90" s="115">
        <v>39.887430885527841</v>
      </c>
      <c r="T90" s="114">
        <v>0.17485574794503045</v>
      </c>
      <c r="U90" s="114">
        <v>2.7278386696962541E-2</v>
      </c>
      <c r="V90" s="114">
        <v>-3.4168863424045765E-6</v>
      </c>
      <c r="W90" s="114">
        <v>-8.7365961302827755E-2</v>
      </c>
      <c r="X90" s="114">
        <v>0.19351367033332903</v>
      </c>
      <c r="Y90" s="114">
        <v>1.0588700078017717</v>
      </c>
      <c r="Z90" s="114">
        <v>1.0588700078017717</v>
      </c>
      <c r="AA90" s="116">
        <v>0.32910685241754273</v>
      </c>
    </row>
    <row r="91" spans="1:27">
      <c r="A91" s="112" t="s">
        <v>126</v>
      </c>
      <c r="B91" s="113">
        <v>284</v>
      </c>
      <c r="C91" s="114">
        <v>5.6396546391752567E-2</v>
      </c>
      <c r="D91" s="114">
        <v>5.8872318182288323E-2</v>
      </c>
      <c r="E91" s="114">
        <v>7.7662801275198992E-2</v>
      </c>
      <c r="F91" s="114">
        <v>0.23013243386389859</v>
      </c>
      <c r="G91" s="115">
        <v>0.76714444453514952</v>
      </c>
      <c r="H91" s="115">
        <v>0.94596717969456179</v>
      </c>
      <c r="I91" s="114">
        <v>6.378770955040676E-2</v>
      </c>
      <c r="J91" s="114">
        <v>0.26018393852243621</v>
      </c>
      <c r="K91" s="114">
        <v>3.5299999999999998E-2</v>
      </c>
      <c r="L91" s="114">
        <v>0.31488860718429634</v>
      </c>
      <c r="M91" s="114">
        <v>5.1912756493287242E-2</v>
      </c>
      <c r="N91" s="115">
        <v>1.5498880823873908</v>
      </c>
      <c r="O91" s="115">
        <v>1.5288367575956143</v>
      </c>
      <c r="P91" s="115">
        <v>13.195020004061851</v>
      </c>
      <c r="Q91" s="115">
        <v>25.126450081239827</v>
      </c>
      <c r="R91" s="115">
        <v>2.9408871100133194</v>
      </c>
      <c r="S91" s="115">
        <v>37.6671734602049</v>
      </c>
      <c r="T91" s="114">
        <v>3.9617742483176108E-2</v>
      </c>
      <c r="U91" s="114">
        <v>4.6650363679116909E-2</v>
      </c>
      <c r="V91" s="114">
        <v>6.8007004896465011E-3</v>
      </c>
      <c r="W91" s="114">
        <v>0.21493585493956563</v>
      </c>
      <c r="X91" s="114">
        <v>8.2640625012017313E-2</v>
      </c>
      <c r="Y91" s="114">
        <v>0.79535944335689179</v>
      </c>
      <c r="Z91" s="114">
        <v>0.79535944335689179</v>
      </c>
      <c r="AA91" s="116">
        <v>6.0324599229879899E-2</v>
      </c>
    </row>
    <row r="92" spans="1:27">
      <c r="A92" s="112" t="s">
        <v>234</v>
      </c>
      <c r="B92" s="113">
        <v>53</v>
      </c>
      <c r="C92" s="114">
        <v>1.7565999999999998E-2</v>
      </c>
      <c r="D92" s="114">
        <v>0.15267045457435474</v>
      </c>
      <c r="E92" s="114">
        <v>5.2393215951068925E-2</v>
      </c>
      <c r="F92" s="114">
        <v>0.23922631739933373</v>
      </c>
      <c r="G92" s="115">
        <v>0.6190910706898799</v>
      </c>
      <c r="H92" s="115">
        <v>0.78150287787785555</v>
      </c>
      <c r="I92" s="114">
        <v>5.4314565765764475E-2</v>
      </c>
      <c r="J92" s="114">
        <v>0.1728152690932219</v>
      </c>
      <c r="K92" s="114">
        <v>2.8699999999999996E-2</v>
      </c>
      <c r="L92" s="114">
        <v>0.29206131008352504</v>
      </c>
      <c r="M92" s="114">
        <v>4.4643283827672214E-2</v>
      </c>
      <c r="N92" s="115">
        <v>0.39891599725424676</v>
      </c>
      <c r="O92" s="115">
        <v>4.8317987535774689</v>
      </c>
      <c r="P92" s="115">
        <v>17.086253630460416</v>
      </c>
      <c r="Q92" s="115">
        <v>31.013071906172559</v>
      </c>
      <c r="R92" s="115">
        <v>2.4811895472515757</v>
      </c>
      <c r="S92" s="115">
        <v>56.828891399033168</v>
      </c>
      <c r="T92" s="114">
        <v>7.9908201108221263E-2</v>
      </c>
      <c r="U92" s="114">
        <v>0.1950041401195689</v>
      </c>
      <c r="V92" s="114">
        <v>0.12715356895785646</v>
      </c>
      <c r="W92" s="114">
        <v>1.1209397415275466</v>
      </c>
      <c r="X92" s="114">
        <v>5.6555011931800118E-2</v>
      </c>
      <c r="Y92" s="114">
        <v>0.78079914545679252</v>
      </c>
      <c r="Z92" s="114">
        <v>0.78079914545679252</v>
      </c>
      <c r="AA92" s="116">
        <v>0.156215101707636</v>
      </c>
    </row>
    <row r="93" spans="1:27">
      <c r="A93" s="112" t="s">
        <v>127</v>
      </c>
      <c r="B93" s="113">
        <v>217</v>
      </c>
      <c r="C93" s="114">
        <v>2.5366875000000001E-2</v>
      </c>
      <c r="D93" s="114">
        <v>1.4466648377545644E-2</v>
      </c>
      <c r="E93" s="114">
        <v>4.4646285184744431E-3</v>
      </c>
      <c r="F93" s="114">
        <v>0.27603256105089607</v>
      </c>
      <c r="G93" s="115">
        <v>0.80636891659674204</v>
      </c>
      <c r="H93" s="115">
        <v>1.0539104624207907</v>
      </c>
      <c r="I93" s="114">
        <v>7.0005242635437545E-2</v>
      </c>
      <c r="J93" s="114">
        <v>0.29382378116453434</v>
      </c>
      <c r="K93" s="114">
        <v>3.5299999999999998E-2</v>
      </c>
      <c r="L93" s="114">
        <v>0.35435394176548768</v>
      </c>
      <c r="M93" s="114">
        <v>5.443878132773132E-2</v>
      </c>
      <c r="N93" s="115">
        <v>0.99510006022623865</v>
      </c>
      <c r="O93" s="115">
        <v>1.7437963135244796</v>
      </c>
      <c r="P93" s="115">
        <v>10.053075459267033</v>
      </c>
      <c r="Q93" s="115">
        <v>68.181750035862166</v>
      </c>
      <c r="R93" s="115">
        <v>2.675536384079602</v>
      </c>
      <c r="S93" s="115">
        <v>35.794827890174183</v>
      </c>
      <c r="T93" s="114">
        <v>5.945265168327072E-2</v>
      </c>
      <c r="U93" s="114">
        <v>2.4213947704161819E-2</v>
      </c>
      <c r="V93" s="114">
        <v>-2.7840222120947451E-2</v>
      </c>
      <c r="W93" s="114">
        <v>-7.2677913814090056</v>
      </c>
      <c r="X93" s="114">
        <v>-5.7580568440949581E-2</v>
      </c>
      <c r="Y93" s="114">
        <v>4.6699694026444841E-3</v>
      </c>
      <c r="Z93" s="114">
        <v>4.6699694026445249E-3</v>
      </c>
      <c r="AA93" s="116">
        <v>7.2778367719874186E-3</v>
      </c>
    </row>
    <row r="94" spans="1:27">
      <c r="A94" s="112" t="s">
        <v>128</v>
      </c>
      <c r="B94" s="113">
        <v>53</v>
      </c>
      <c r="C94" s="114">
        <v>2.5761599999999999E-2</v>
      </c>
      <c r="D94" s="114">
        <v>0.11862805381356314</v>
      </c>
      <c r="E94" s="114">
        <v>6.6506528459300204E-2</v>
      </c>
      <c r="F94" s="114">
        <v>0.23325204143923281</v>
      </c>
      <c r="G94" s="115">
        <v>0.48803783479430257</v>
      </c>
      <c r="H94" s="115">
        <v>0.76316482748157788</v>
      </c>
      <c r="I94" s="114">
        <v>5.3258294062938888E-2</v>
      </c>
      <c r="J94" s="114">
        <v>0.17729738301653211</v>
      </c>
      <c r="K94" s="114">
        <v>2.8699999999999996E-2</v>
      </c>
      <c r="L94" s="114">
        <v>0.4637390551336899</v>
      </c>
      <c r="M94" s="114">
        <v>3.8391931044941666E-2</v>
      </c>
      <c r="N94" s="115">
        <v>0.69591112458487558</v>
      </c>
      <c r="O94" s="115">
        <v>2.3787055190695972</v>
      </c>
      <c r="P94" s="115">
        <v>10.758421798603603</v>
      </c>
      <c r="Q94" s="115">
        <v>19.002956607631102</v>
      </c>
      <c r="R94" s="115">
        <v>1.6685151193349903</v>
      </c>
      <c r="S94" s="115">
        <v>37.333450844749059</v>
      </c>
      <c r="T94" s="114">
        <v>-1.2827272751673835E-2</v>
      </c>
      <c r="U94" s="114">
        <v>0.15369567376360188</v>
      </c>
      <c r="V94" s="114">
        <v>0.10161823774842545</v>
      </c>
      <c r="W94" s="114">
        <v>1.0796981588532988</v>
      </c>
      <c r="X94" s="114">
        <v>5.485150855276108E-2</v>
      </c>
      <c r="Y94" s="114">
        <v>1.222793064848565</v>
      </c>
      <c r="Z94" s="114">
        <v>1.222793064848565</v>
      </c>
      <c r="AA94" s="116">
        <v>0.11793061223035635</v>
      </c>
    </row>
    <row r="95" spans="1:27">
      <c r="A95" s="112" t="s">
        <v>129</v>
      </c>
      <c r="B95" s="113">
        <v>104</v>
      </c>
      <c r="C95" s="114">
        <v>8.4436849315068535E-2</v>
      </c>
      <c r="D95" s="114">
        <v>0.26786051215746653</v>
      </c>
      <c r="E95" s="114">
        <v>7.271210049744356E-2</v>
      </c>
      <c r="F95" s="114">
        <v>0.26535771507304012</v>
      </c>
      <c r="G95" s="115">
        <v>0.58892549951257722</v>
      </c>
      <c r="H95" s="115">
        <v>0.82797819959367558</v>
      </c>
      <c r="I95" s="114">
        <v>5.6991544296595711E-2</v>
      </c>
      <c r="J95" s="114">
        <v>0.27389365083788414</v>
      </c>
      <c r="K95" s="114">
        <v>3.5299999999999998E-2</v>
      </c>
      <c r="L95" s="114">
        <v>0.40893948453987256</v>
      </c>
      <c r="M95" s="114">
        <v>4.4349002531019567E-2</v>
      </c>
      <c r="N95" s="115">
        <v>0.32461815071785372</v>
      </c>
      <c r="O95" s="115">
        <v>5.0103868690353952</v>
      </c>
      <c r="P95" s="115">
        <v>12.783878973416556</v>
      </c>
      <c r="Q95" s="115">
        <v>18.444585331925889</v>
      </c>
      <c r="R95" s="115">
        <v>1.7051069929463623</v>
      </c>
      <c r="S95" s="115">
        <v>31.573496920080274</v>
      </c>
      <c r="T95" s="114">
        <v>5.2921794398684982E-2</v>
      </c>
      <c r="U95" s="114">
        <v>0.27089399908867012</v>
      </c>
      <c r="V95" s="114">
        <v>0.27534918016672044</v>
      </c>
      <c r="W95" s="114">
        <v>1.7257929849519456</v>
      </c>
      <c r="X95" s="114">
        <v>6.2991106896639226E-2</v>
      </c>
      <c r="Y95" s="114">
        <v>0.56829411409733799</v>
      </c>
      <c r="Z95" s="114">
        <v>0.75321158180974801</v>
      </c>
      <c r="AA95" s="116">
        <v>0.26793572070173671</v>
      </c>
    </row>
    <row r="96" spans="1:27">
      <c r="A96" s="112" t="s">
        <v>130</v>
      </c>
      <c r="B96" s="113">
        <v>46580</v>
      </c>
      <c r="C96" s="114">
        <v>6.6170087846252071E-2</v>
      </c>
      <c r="D96" s="114">
        <v>8.0037493656325343E-2</v>
      </c>
      <c r="E96" s="114">
        <v>4.9432363157951922E-2</v>
      </c>
      <c r="F96" s="114">
        <v>0.22116104647469551</v>
      </c>
      <c r="G96" s="115">
        <v>0.79177925611506728</v>
      </c>
      <c r="H96" s="115">
        <v>1.0126516437334008</v>
      </c>
      <c r="I96" s="114">
        <v>6.7628734679043886E-2</v>
      </c>
      <c r="J96" s="114">
        <v>0.32356760879937879</v>
      </c>
      <c r="K96" s="114">
        <v>3.5299999999999998E-2</v>
      </c>
      <c r="L96" s="114">
        <v>0.38684090102653307</v>
      </c>
      <c r="M96" s="114">
        <v>5.1554479908185194E-2</v>
      </c>
      <c r="N96" s="115">
        <v>0.69057055678463408</v>
      </c>
      <c r="O96" s="115">
        <v>2.6638950424577574</v>
      </c>
      <c r="P96" s="115">
        <v>15.836063112747448</v>
      </c>
      <c r="Q96" s="115">
        <v>27.989069142863478</v>
      </c>
      <c r="R96" s="115">
        <v>2.2098733643239052</v>
      </c>
      <c r="S96" s="115">
        <v>93.222443188777547</v>
      </c>
      <c r="T96" s="114">
        <v>-1.3738824402483969</v>
      </c>
      <c r="U96" s="114">
        <v>5.8774710740107317E-2</v>
      </c>
      <c r="V96" s="114">
        <v>2.7226634249102089E-2</v>
      </c>
      <c r="W96" s="114">
        <v>0.47931772232216008</v>
      </c>
      <c r="X96" s="114">
        <v>6.2991106896639226E-2</v>
      </c>
      <c r="Y96" s="114">
        <v>0.75321158180974801</v>
      </c>
      <c r="Z96" s="114">
        <v>0.75321158180974801</v>
      </c>
      <c r="AA96" s="116">
        <v>8.0938222464465248E-2</v>
      </c>
    </row>
    <row r="97" spans="1:27">
      <c r="A97" s="112" t="s">
        <v>235</v>
      </c>
      <c r="B97" s="113">
        <v>41623</v>
      </c>
      <c r="C97" s="114">
        <v>6.414068617439965E-2</v>
      </c>
      <c r="D97" s="114">
        <v>8.3062427738524375E-2</v>
      </c>
      <c r="E97" s="114">
        <v>7.723521333629764E-2</v>
      </c>
      <c r="F97" s="114">
        <v>0.22888604684744512</v>
      </c>
      <c r="G97" s="115">
        <v>0.89413248438297899</v>
      </c>
      <c r="H97" s="115">
        <v>1.0368162847389348</v>
      </c>
      <c r="I97" s="114">
        <v>6.9020618000962639E-2</v>
      </c>
      <c r="J97" s="114">
        <v>0.33075842494807123</v>
      </c>
      <c r="K97" s="114">
        <v>3.5299999999999998E-2</v>
      </c>
      <c r="L97" s="114">
        <v>0.24824912057878529</v>
      </c>
      <c r="M97" s="114">
        <v>5.8359681656035049E-2</v>
      </c>
      <c r="N97" s="115">
        <v>1.0351331591251673</v>
      </c>
      <c r="O97" s="115">
        <v>2.3051579927284229</v>
      </c>
      <c r="P97" s="115">
        <v>14.331251277047636</v>
      </c>
      <c r="Q97" s="115">
        <v>26.063060552182353</v>
      </c>
      <c r="R97" s="115">
        <v>2.7117825747567825</v>
      </c>
      <c r="S97" s="115">
        <v>93.930772024658637</v>
      </c>
      <c r="T97" s="114">
        <v>0.11581483197696948</v>
      </c>
      <c r="U97" s="114">
        <v>6.3700606959858741E-2</v>
      </c>
      <c r="V97" s="114">
        <v>2.7532999205641173E-2</v>
      </c>
      <c r="W97" s="114">
        <v>0.46138853290161297</v>
      </c>
      <c r="X97" s="114">
        <v>5.5370101051144843E-2</v>
      </c>
      <c r="Y97" s="114">
        <v>0.95725153342517866</v>
      </c>
      <c r="Z97" s="114">
        <v>0.95725153342517866</v>
      </c>
      <c r="AA97" s="116">
        <v>8.4111429183896011E-2</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election activeCell="B5" sqref="B5"/>
    </sheetView>
  </sheetViews>
  <sheetFormatPr defaultColWidth="11.19921875" defaultRowHeight="15.6"/>
  <cols>
    <col min="2" max="2" width="38.19921875" customWidth="1"/>
    <col min="3" max="3" width="41.19921875" customWidth="1"/>
  </cols>
  <sheetData>
    <row r="1" spans="1:2" s="1" customFormat="1">
      <c r="A1" s="1" t="s">
        <v>132</v>
      </c>
      <c r="B1" s="1" t="s">
        <v>47</v>
      </c>
    </row>
    <row r="2" spans="1:2">
      <c r="A2" t="s">
        <v>25</v>
      </c>
      <c r="B2" t="s">
        <v>46</v>
      </c>
    </row>
    <row r="3" spans="1:2">
      <c r="A3" t="s">
        <v>26</v>
      </c>
      <c r="B3" t="s">
        <v>42</v>
      </c>
    </row>
    <row r="4" spans="1:2">
      <c r="B4" t="s">
        <v>43</v>
      </c>
    </row>
    <row r="5" spans="1:2">
      <c r="B5" t="s">
        <v>265</v>
      </c>
    </row>
    <row r="6" spans="1:2">
      <c r="B6" t="s">
        <v>44</v>
      </c>
    </row>
    <row r="7" spans="1:2">
      <c r="B7" t="s">
        <v>45</v>
      </c>
    </row>
  </sheetData>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A49F-6CE7-EE4F-A06D-1DC67B1930FE}">
  <dimension ref="A1:F27"/>
  <sheetViews>
    <sheetView workbookViewId="0">
      <selection activeCell="D2" sqref="D2"/>
    </sheetView>
  </sheetViews>
  <sheetFormatPr defaultColWidth="11.19921875" defaultRowHeight="15.6"/>
  <sheetData>
    <row r="1" spans="1:6" ht="17.399999999999999">
      <c r="A1" s="74" t="s">
        <v>329</v>
      </c>
      <c r="B1" s="74"/>
      <c r="C1" s="75"/>
      <c r="D1" s="75"/>
      <c r="E1" s="75"/>
      <c r="F1" s="75"/>
    </row>
    <row r="2" spans="1:6">
      <c r="A2" s="76" t="s">
        <v>330</v>
      </c>
      <c r="B2" s="76"/>
      <c r="D2" s="77">
        <f>Inputs!B41</f>
        <v>70</v>
      </c>
    </row>
    <row r="3" spans="1:6">
      <c r="A3" s="76" t="s">
        <v>331</v>
      </c>
      <c r="B3" s="76"/>
      <c r="D3" s="78">
        <f>Inputs!B44</f>
        <v>50</v>
      </c>
    </row>
    <row r="4" spans="1:6">
      <c r="A4" s="76" t="s">
        <v>332</v>
      </c>
      <c r="B4" s="76"/>
      <c r="D4" s="79">
        <f>Inputs!B45</f>
        <v>7.16</v>
      </c>
    </row>
    <row r="5" spans="1:6">
      <c r="A5" s="76" t="s">
        <v>333</v>
      </c>
      <c r="B5" s="76"/>
      <c r="D5" s="80">
        <f>Inputs!B46</f>
        <v>0.5</v>
      </c>
      <c r="E5" s="76" t="s">
        <v>334</v>
      </c>
    </row>
    <row r="6" spans="1:6">
      <c r="A6" s="76" t="s">
        <v>335</v>
      </c>
      <c r="B6" s="76"/>
      <c r="D6" s="81">
        <v>0</v>
      </c>
    </row>
    <row r="7" spans="1:6">
      <c r="A7" s="76" t="s">
        <v>336</v>
      </c>
      <c r="B7" s="76"/>
      <c r="D7" s="81">
        <f>Inputs!B33</f>
        <v>7.3649999999999993E-2</v>
      </c>
    </row>
    <row r="8" spans="1:6">
      <c r="A8" s="76" t="s">
        <v>337</v>
      </c>
      <c r="B8" s="76"/>
      <c r="D8" s="79">
        <f>Inputs!B43</f>
        <v>266</v>
      </c>
    </row>
    <row r="9" spans="1:6">
      <c r="A9" s="76" t="s">
        <v>338</v>
      </c>
      <c r="B9" s="76"/>
      <c r="D9" s="82">
        <f>Valuation!B32</f>
        <v>880</v>
      </c>
    </row>
    <row r="10" spans="1:6">
      <c r="A10" s="76"/>
      <c r="B10" s="76"/>
    </row>
    <row r="11" spans="1:6">
      <c r="A11" s="83" t="s">
        <v>339</v>
      </c>
      <c r="B11" s="84"/>
      <c r="C11" s="85"/>
      <c r="D11" s="85"/>
      <c r="E11" s="85"/>
      <c r="F11" s="85"/>
    </row>
    <row r="12" spans="1:6">
      <c r="A12" s="86" t="s">
        <v>340</v>
      </c>
      <c r="B12" s="76"/>
      <c r="C12" s="76"/>
      <c r="D12" s="76"/>
      <c r="E12" s="76"/>
      <c r="F12" s="76"/>
    </row>
    <row r="13" spans="1:6">
      <c r="A13" s="76" t="s">
        <v>341</v>
      </c>
      <c r="B13" s="76"/>
      <c r="C13" s="87">
        <f>D2</f>
        <v>70</v>
      </c>
      <c r="D13" s="76" t="s">
        <v>342</v>
      </c>
      <c r="E13" s="76"/>
      <c r="F13" s="88">
        <f>D8</f>
        <v>266</v>
      </c>
    </row>
    <row r="14" spans="1:6">
      <c r="A14" s="76" t="s">
        <v>343</v>
      </c>
      <c r="B14" s="76"/>
      <c r="C14" s="87">
        <f>D3</f>
        <v>50</v>
      </c>
      <c r="D14" s="76" t="s">
        <v>344</v>
      </c>
      <c r="E14" s="76"/>
      <c r="F14" s="89">
        <f>D9</f>
        <v>880</v>
      </c>
    </row>
    <row r="15" spans="1:6">
      <c r="A15" s="76" t="s">
        <v>345</v>
      </c>
      <c r="B15" s="76"/>
      <c r="C15" s="87">
        <f ca="1">(C13*F14+C26*F13)/(F14+F13)</f>
        <v>63.814685923373979</v>
      </c>
      <c r="D15" s="76" t="s">
        <v>346</v>
      </c>
      <c r="E15" s="76"/>
      <c r="F15" s="90">
        <f>D7</f>
        <v>7.3649999999999993E-2</v>
      </c>
    </row>
    <row r="16" spans="1:6">
      <c r="A16" s="76" t="s">
        <v>347</v>
      </c>
      <c r="B16" s="76"/>
      <c r="C16" s="87">
        <f>C14</f>
        <v>50</v>
      </c>
      <c r="D16" s="76" t="s">
        <v>348</v>
      </c>
      <c r="E16" s="76"/>
      <c r="F16" s="91">
        <f>D5^2</f>
        <v>0.25</v>
      </c>
    </row>
    <row r="17" spans="1:6">
      <c r="A17" s="76" t="s">
        <v>349</v>
      </c>
      <c r="B17" s="76"/>
      <c r="C17" s="87">
        <f>D4</f>
        <v>7.16</v>
      </c>
      <c r="D17" s="76" t="s">
        <v>350</v>
      </c>
      <c r="E17" s="76"/>
      <c r="F17" s="90">
        <f>D6</f>
        <v>0</v>
      </c>
    </row>
    <row r="18" spans="1:6">
      <c r="A18" s="76"/>
      <c r="B18" s="76"/>
      <c r="C18" s="86"/>
      <c r="D18" s="76" t="s">
        <v>351</v>
      </c>
      <c r="E18" s="76"/>
      <c r="F18" s="92">
        <f>F15-F17</f>
        <v>7.3649999999999993E-2</v>
      </c>
    </row>
    <row r="19" spans="1:6">
      <c r="A19" s="76"/>
      <c r="B19" s="76"/>
      <c r="C19" s="76"/>
      <c r="D19" s="76"/>
      <c r="E19" s="76"/>
      <c r="F19" s="76"/>
    </row>
    <row r="20" spans="1:6">
      <c r="A20" s="76" t="s">
        <v>352</v>
      </c>
      <c r="B20" s="88">
        <f ca="1">(LN(C15/C16)+(F18+(F16/2))*C17)/(((F16)^(0.5))*(C17^0.5))</f>
        <v>1.2454468685465803</v>
      </c>
      <c r="C20" s="76"/>
      <c r="D20" s="76"/>
      <c r="E20" s="76"/>
      <c r="F20" s="76"/>
    </row>
    <row r="21" spans="1:6">
      <c r="A21" s="76" t="s">
        <v>353</v>
      </c>
      <c r="B21" s="88">
        <f ca="1">NORMSDIST(B20)</f>
        <v>0.89351623286506343</v>
      </c>
      <c r="C21" s="76"/>
      <c r="D21" s="76"/>
      <c r="E21" s="76"/>
      <c r="F21" s="76"/>
    </row>
    <row r="22" spans="1:6">
      <c r="A22" s="76"/>
      <c r="B22" s="76"/>
      <c r="C22" s="76"/>
      <c r="D22" s="76"/>
      <c r="E22" s="76"/>
      <c r="F22" s="76"/>
    </row>
    <row r="23" spans="1:6">
      <c r="A23" s="76" t="s">
        <v>354</v>
      </c>
      <c r="B23" s="88">
        <f ca="1">B20-((F16^0.5)*(C17^(0.5)))</f>
        <v>-9.2461947479384854E-2</v>
      </c>
      <c r="C23" s="76"/>
      <c r="D23" s="76"/>
      <c r="E23" s="76"/>
      <c r="F23" s="76"/>
    </row>
    <row r="24" spans="1:6">
      <c r="A24" s="76" t="s">
        <v>355</v>
      </c>
      <c r="B24" s="88">
        <f ca="1">NORMSDIST(B23)</f>
        <v>0.46316551159053959</v>
      </c>
      <c r="C24" s="76"/>
      <c r="D24" s="76"/>
      <c r="E24" s="76"/>
      <c r="F24" s="76"/>
    </row>
    <row r="25" spans="1:6" ht="16.2" thickBot="1">
      <c r="A25" s="76"/>
      <c r="B25" s="76"/>
    </row>
    <row r="26" spans="1:6" ht="16.2" thickBot="1">
      <c r="A26" s="76" t="s">
        <v>356</v>
      </c>
      <c r="B26" s="76"/>
      <c r="C26" s="93">
        <f ca="1">((EXP((0-F17)*C17))*C15*B21-C16*(EXP((0-F15)*C17))*B24)</f>
        <v>43.351992738664116</v>
      </c>
      <c r="D26" s="76"/>
      <c r="E26" s="76"/>
      <c r="F26" s="76"/>
    </row>
    <row r="27" spans="1:6" ht="16.2" thickBot="1">
      <c r="A27" s="76" t="s">
        <v>357</v>
      </c>
      <c r="B27" s="76"/>
      <c r="C27" s="76"/>
      <c r="D27" s="94">
        <f ca="1">C26*D8</f>
        <v>11531.630068484656</v>
      </c>
      <c r="E27" s="76"/>
      <c r="F27"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1"/>
  <sheetViews>
    <sheetView topLeftCell="A24" workbookViewId="0">
      <selection activeCell="D48" sqref="D48"/>
    </sheetView>
  </sheetViews>
  <sheetFormatPr defaultColWidth="11.19921875" defaultRowHeight="15.6"/>
  <cols>
    <col min="1" max="1" width="20.296875" customWidth="1"/>
    <col min="2" max="2" width="11.296875" bestFit="1" customWidth="1"/>
    <col min="3" max="3" width="12.19921875" bestFit="1" customWidth="1"/>
    <col min="4" max="4" width="22.69921875" customWidth="1"/>
    <col min="5" max="5" width="24.69921875" style="40" customWidth="1"/>
    <col min="6" max="6" width="12.296875" customWidth="1"/>
    <col min="7" max="7" width="17" customWidth="1"/>
  </cols>
  <sheetData>
    <row r="1" spans="1:7" ht="18">
      <c r="A1" s="158" t="s">
        <v>367</v>
      </c>
      <c r="B1" s="158"/>
      <c r="C1" s="158"/>
      <c r="D1" s="158"/>
      <c r="E1" s="158"/>
      <c r="F1" s="158"/>
      <c r="G1" s="158"/>
    </row>
    <row r="2" spans="1:7">
      <c r="A2" s="159" t="s">
        <v>368</v>
      </c>
      <c r="B2" s="159"/>
      <c r="C2" s="159"/>
      <c r="D2" s="159"/>
      <c r="E2" s="159"/>
      <c r="F2" s="159"/>
      <c r="G2" s="159"/>
    </row>
    <row r="3" spans="1:7" ht="16.05" customHeight="1">
      <c r="A3" s="160"/>
      <c r="B3" s="160"/>
      <c r="C3" s="160"/>
      <c r="D3" s="160"/>
      <c r="E3" s="160"/>
      <c r="F3" s="160"/>
      <c r="G3" s="160"/>
    </row>
    <row r="4" spans="1:7" ht="51" customHeight="1">
      <c r="A4" s="160"/>
      <c r="B4" s="160"/>
      <c r="C4" s="160"/>
      <c r="D4" s="160"/>
      <c r="E4" s="160"/>
      <c r="F4" s="160"/>
      <c r="G4" s="160"/>
    </row>
    <row r="5" spans="1:7" ht="16.2" thickBot="1">
      <c r="A5" s="161" t="s">
        <v>152</v>
      </c>
      <c r="B5" s="161"/>
      <c r="C5" s="161"/>
      <c r="D5" s="161"/>
      <c r="E5" s="161"/>
      <c r="F5" s="161"/>
      <c r="G5" s="161"/>
    </row>
    <row r="6" spans="1:7">
      <c r="A6" s="18"/>
      <c r="B6" s="19" t="s">
        <v>153</v>
      </c>
      <c r="C6" s="20" t="s">
        <v>154</v>
      </c>
      <c r="D6" s="19" t="s">
        <v>155</v>
      </c>
      <c r="E6" s="19" t="s">
        <v>156</v>
      </c>
      <c r="F6" s="162" t="s">
        <v>157</v>
      </c>
      <c r="G6" s="163"/>
    </row>
    <row r="7" spans="1:7">
      <c r="A7" s="21" t="s">
        <v>130</v>
      </c>
      <c r="B7" s="41">
        <f>Valuation!B2</f>
        <v>376587.89674880001</v>
      </c>
      <c r="C7" s="157" t="str">
        <f>Inputs!B9</f>
        <v>B5. Direct input</v>
      </c>
      <c r="D7" s="157"/>
      <c r="E7" s="61">
        <f>Valuation!M2</f>
        <v>373782.88079999998</v>
      </c>
      <c r="F7" s="147"/>
      <c r="G7" s="147"/>
    </row>
    <row r="8" spans="1:7">
      <c r="A8" s="21" t="s">
        <v>158</v>
      </c>
      <c r="B8" s="22">
        <f>Valuation!B3</f>
        <v>9.906319433543738E-2</v>
      </c>
      <c r="C8" s="147" t="s">
        <v>326</v>
      </c>
      <c r="D8" s="147"/>
      <c r="E8" s="23">
        <f>Inputs!B13</f>
        <v>0.57999999999999996</v>
      </c>
      <c r="F8" s="147"/>
      <c r="G8" s="147"/>
    </row>
    <row r="9" spans="1:7" ht="30" customHeight="1">
      <c r="A9" s="21" t="s">
        <v>159</v>
      </c>
      <c r="B9" s="24">
        <f>Inputs!B4/Inputs!B3</f>
        <v>0.24282957165067282</v>
      </c>
      <c r="C9" s="147" t="s">
        <v>327</v>
      </c>
      <c r="D9" s="147"/>
      <c r="E9" s="24">
        <f>Inputs!B16</f>
        <v>0.24</v>
      </c>
      <c r="F9" s="147"/>
      <c r="G9" s="147"/>
    </row>
    <row r="10" spans="1:7">
      <c r="A10" s="21" t="s">
        <v>145</v>
      </c>
      <c r="B10" s="24">
        <f>Valuation!B6</f>
        <v>0.14924384589910586</v>
      </c>
      <c r="C10" s="153" t="s">
        <v>326</v>
      </c>
      <c r="D10" s="154"/>
      <c r="E10" s="24">
        <f>Inputs!B21</f>
        <v>0.25</v>
      </c>
      <c r="F10" s="147"/>
      <c r="G10" s="147"/>
    </row>
    <row r="11" spans="1:7">
      <c r="A11" s="21" t="s">
        <v>48</v>
      </c>
      <c r="B11" s="48">
        <f>Valuation!C11</f>
        <v>5</v>
      </c>
      <c r="C11" s="147" t="s">
        <v>328</v>
      </c>
      <c r="D11" s="147"/>
      <c r="E11" s="64">
        <f>Valuation!M12/Valuation!M10</f>
        <v>0.61375000000000002</v>
      </c>
      <c r="F11" s="147"/>
      <c r="G11" s="147"/>
    </row>
    <row r="12" spans="1:7">
      <c r="A12" s="21" t="s">
        <v>19</v>
      </c>
      <c r="B12" s="24">
        <f>Valuation!B17</f>
        <v>9.9099999999999994E-2</v>
      </c>
      <c r="C12" s="153" t="s">
        <v>326</v>
      </c>
      <c r="D12" s="154"/>
      <c r="E12" s="24">
        <f>Valuation!L17</f>
        <v>9.9099999999999994E-2</v>
      </c>
      <c r="F12" s="147"/>
      <c r="G12" s="147"/>
    </row>
    <row r="13" spans="1:7" ht="16.2" thickBot="1">
      <c r="A13" s="25" t="s">
        <v>161</v>
      </c>
      <c r="B13" s="148">
        <f>Valuation!B24</f>
        <v>0.1</v>
      </c>
      <c r="C13" s="149"/>
      <c r="D13" s="149"/>
      <c r="E13" s="150"/>
      <c r="F13" s="147"/>
      <c r="G13" s="147"/>
    </row>
    <row r="14" spans="1:7" ht="16.2" thickBot="1">
      <c r="A14" s="151" t="s">
        <v>162</v>
      </c>
      <c r="B14" s="152"/>
      <c r="C14" s="152"/>
      <c r="D14" s="152"/>
      <c r="E14" s="152"/>
      <c r="F14" s="152"/>
      <c r="G14" s="152"/>
    </row>
    <row r="15" spans="1:7">
      <c r="A15" s="26"/>
      <c r="B15" s="19" t="s">
        <v>130</v>
      </c>
      <c r="C15" s="19" t="s">
        <v>163</v>
      </c>
      <c r="D15" s="19" t="s">
        <v>189</v>
      </c>
      <c r="E15" s="19" t="s">
        <v>164</v>
      </c>
      <c r="F15" s="19" t="s">
        <v>48</v>
      </c>
      <c r="G15" s="27" t="s">
        <v>165</v>
      </c>
    </row>
    <row r="16" spans="1:7">
      <c r="A16" s="28">
        <v>1</v>
      </c>
      <c r="B16" s="29">
        <f>Valuation!C2</f>
        <v>375948.22445247561</v>
      </c>
      <c r="C16" s="22">
        <f>Valuation!C3</f>
        <v>0.14715687490189364</v>
      </c>
      <c r="D16" s="29">
        <f>Valuation!C5</f>
        <v>13418.495085310811</v>
      </c>
      <c r="E16" s="29">
        <f>Valuation!C10</f>
        <v>1857.1429011126888</v>
      </c>
      <c r="F16" s="29">
        <f>Valuation!C12</f>
        <v>871.89901706216222</v>
      </c>
      <c r="G16" s="30">
        <f>Valuation!C13</f>
        <v>985.24388405052662</v>
      </c>
    </row>
    <row r="17" spans="1:7">
      <c r="A17" s="28">
        <v>2</v>
      </c>
      <c r="B17" s="29">
        <f>Valuation!D2</f>
        <v>375309.63870367495</v>
      </c>
      <c r="C17" s="22">
        <f>Valuation!D3</f>
        <v>0.19525055546834991</v>
      </c>
      <c r="D17" s="29">
        <f>Valuation!D5</f>
        <v>17752.939188266173</v>
      </c>
      <c r="E17" s="29">
        <f>Valuation!D10</f>
        <v>2935.2845657188673</v>
      </c>
      <c r="F17" s="29">
        <f>Valuation!D12</f>
        <v>2167.2220514776809</v>
      </c>
      <c r="G17" s="30">
        <f>Valuation!D13</f>
        <v>768.06251424118636</v>
      </c>
    </row>
    <row r="18" spans="1:7">
      <c r="A18" s="28">
        <v>3</v>
      </c>
      <c r="B18" s="29">
        <f>Valuation!E2</f>
        <v>374672.13765678817</v>
      </c>
      <c r="C18" s="22">
        <f>Valuation!E3</f>
        <v>0.24334423603480615</v>
      </c>
      <c r="D18" s="29">
        <f>Valuation!E5</f>
        <v>22062.422184678257</v>
      </c>
      <c r="E18" s="29">
        <f>Valuation!E10</f>
        <v>4252.5318760967339</v>
      </c>
      <c r="F18" s="29">
        <f>Valuation!E12</f>
        <v>2154.7414982060418</v>
      </c>
      <c r="G18" s="30">
        <f>Valuation!E13</f>
        <v>2097.7903778906921</v>
      </c>
    </row>
    <row r="19" spans="1:7">
      <c r="A19" s="28">
        <v>4</v>
      </c>
      <c r="B19" s="29">
        <f>Valuation!F2</f>
        <v>374035.71946934029</v>
      </c>
      <c r="C19" s="22">
        <f>Valuation!F3</f>
        <v>0.29143791660126239</v>
      </c>
      <c r="D19" s="29">
        <f>Valuation!F5</f>
        <v>26347.033687839175</v>
      </c>
      <c r="E19" s="29">
        <f>Valuation!F10</f>
        <v>5124.49805228472</v>
      </c>
      <c r="F19" s="29">
        <f>Valuation!F12</f>
        <v>2142.3057515804594</v>
      </c>
      <c r="G19" s="30">
        <f>Valuation!F13</f>
        <v>2982.1923007042606</v>
      </c>
    </row>
    <row r="20" spans="1:7">
      <c r="A20" s="28">
        <v>5</v>
      </c>
      <c r="B20" s="29">
        <f>Valuation!G2</f>
        <v>373400.38230198593</v>
      </c>
      <c r="C20" s="22">
        <f>Valuation!G3</f>
        <v>0.33953159716771864</v>
      </c>
      <c r="D20" s="29">
        <f>Valuation!G5</f>
        <v>30606.863049203537</v>
      </c>
      <c r="E20" s="29">
        <f>Valuation!G10</f>
        <v>6006.5968734061944</v>
      </c>
      <c r="F20" s="29">
        <f>Valuation!G12</f>
        <v>2129.9146806821809</v>
      </c>
      <c r="G20" s="30">
        <f>Valuation!G13</f>
        <v>3876.6821927240135</v>
      </c>
    </row>
    <row r="21" spans="1:7">
      <c r="A21" s="28">
        <v>6</v>
      </c>
      <c r="B21" s="29">
        <f>Valuation!H2</f>
        <v>373464.10485907207</v>
      </c>
      <c r="C21" s="22">
        <f>Valuation!H3</f>
        <v>0.38762527773417488</v>
      </c>
      <c r="D21" s="29">
        <f>Valuation!H5</f>
        <v>34907.238757074199</v>
      </c>
      <c r="E21" s="29">
        <f>Valuation!H10</f>
        <v>6911.6332739006921</v>
      </c>
      <c r="F21" s="29">
        <f>Valuation!H12</f>
        <v>2150.1878539353311</v>
      </c>
      <c r="G21" s="30">
        <f>Valuation!H13</f>
        <v>4761.445419965361</v>
      </c>
    </row>
    <row r="22" spans="1:7">
      <c r="A22" s="28">
        <v>7</v>
      </c>
      <c r="B22" s="29">
        <f>Valuation!I2</f>
        <v>373527.83829071658</v>
      </c>
      <c r="C22" s="22">
        <f>Valuation!I3</f>
        <v>0.43571895830063112</v>
      </c>
      <c r="D22" s="29">
        <f>Valuation!I5</f>
        <v>39198.91506190045</v>
      </c>
      <c r="E22" s="29">
        <f>Valuation!I10</f>
        <v>7829.9832836146152</v>
      </c>
      <c r="F22" s="29">
        <f>Valuation!I12</f>
        <v>2145.8381524131255</v>
      </c>
      <c r="G22" s="30">
        <f>Valuation!I13</f>
        <v>5684.1451312014897</v>
      </c>
    </row>
    <row r="23" spans="1:7">
      <c r="A23" s="28">
        <v>8</v>
      </c>
      <c r="B23" s="29">
        <f>Valuation!J2</f>
        <v>373591.58259877545</v>
      </c>
      <c r="C23" s="22">
        <f>Valuation!J3</f>
        <v>0.48381263886708736</v>
      </c>
      <c r="D23" s="29">
        <f>Valuation!J5</f>
        <v>43481.887134330311</v>
      </c>
      <c r="E23" s="29">
        <f>Valuation!J10</f>
        <v>8761.6002575675575</v>
      </c>
      <c r="F23" s="29">
        <f>Valuation!J12</f>
        <v>2141.4860362149302</v>
      </c>
      <c r="G23" s="30">
        <f>Valuation!J13</f>
        <v>6620.1142213526273</v>
      </c>
    </row>
    <row r="24" spans="1:7">
      <c r="A24" s="28">
        <v>9</v>
      </c>
      <c r="B24" s="29">
        <f>Valuation!K2</f>
        <v>373655.33778510452</v>
      </c>
      <c r="C24" s="22">
        <f>Valuation!K3</f>
        <v>0.53190631943354361</v>
      </c>
      <c r="D24" s="29">
        <f>Valuation!K5</f>
        <v>47756.15014332073</v>
      </c>
      <c r="E24" s="29">
        <f>Valuation!K10</f>
        <v>9706.4375166299378</v>
      </c>
      <c r="F24" s="29">
        <f>Valuation!K12</f>
        <v>2137.1315044952098</v>
      </c>
      <c r="G24" s="30">
        <f>Valuation!K13</f>
        <v>7569.306012134728</v>
      </c>
    </row>
    <row r="25" spans="1:7">
      <c r="A25" s="28">
        <v>10</v>
      </c>
      <c r="B25" s="29">
        <f>Valuation!L2</f>
        <v>373719.1038515605</v>
      </c>
      <c r="C25" s="22">
        <f>Valuation!L3</f>
        <v>0.57999999999999985</v>
      </c>
      <c r="D25" s="29">
        <f>Valuation!L5</f>
        <v>52021.699256137203</v>
      </c>
      <c r="E25" s="29">
        <f>Valuation!L10</f>
        <v>10664.448347508127</v>
      </c>
      <c r="F25" s="29">
        <f>Valuation!L12</f>
        <v>2132.7745564082361</v>
      </c>
      <c r="G25" s="30">
        <f>Valuation!L13</f>
        <v>8531.6737910998909</v>
      </c>
    </row>
    <row r="26" spans="1:7" ht="16.2" thickBot="1">
      <c r="A26" s="31" t="s">
        <v>31</v>
      </c>
      <c r="B26" s="32">
        <f>Valuation!M2</f>
        <v>373782.88079999998</v>
      </c>
      <c r="C26" s="33">
        <f>Valuation!M3</f>
        <v>0.57999999999999996</v>
      </c>
      <c r="D26" s="29">
        <f>Valuation!M5</f>
        <v>52030.577007359992</v>
      </c>
      <c r="E26" s="32">
        <f>Valuation!M10</f>
        <v>10666.268286508799</v>
      </c>
      <c r="F26" s="34">
        <f>Valuation!M12</f>
        <v>6546.422160844776</v>
      </c>
      <c r="G26" s="35">
        <f>Valuation!M13</f>
        <v>4119.846125664023</v>
      </c>
    </row>
    <row r="27" spans="1:7" ht="16.2" thickBot="1">
      <c r="A27" s="141" t="s">
        <v>166</v>
      </c>
      <c r="B27" s="141"/>
      <c r="C27" s="141"/>
      <c r="D27" s="141"/>
      <c r="E27" s="141"/>
      <c r="F27" s="141"/>
      <c r="G27" s="141"/>
    </row>
    <row r="28" spans="1:7">
      <c r="A28" s="142" t="s">
        <v>30</v>
      </c>
      <c r="B28" s="143"/>
      <c r="C28" s="143"/>
      <c r="D28" s="99">
        <f>Valuation!L14</f>
        <v>161880.00493768262</v>
      </c>
      <c r="E28" s="36"/>
      <c r="F28" s="36"/>
      <c r="G28" s="37"/>
    </row>
    <row r="29" spans="1:7">
      <c r="A29" s="126" t="s">
        <v>167</v>
      </c>
      <c r="B29" s="127"/>
      <c r="C29" s="127"/>
      <c r="D29" s="100">
        <f>Valuation!B22</f>
        <v>62924.696611696498</v>
      </c>
      <c r="E29"/>
      <c r="G29" s="38"/>
    </row>
    <row r="30" spans="1:7">
      <c r="A30" s="126" t="s">
        <v>168</v>
      </c>
      <c r="B30" s="127"/>
      <c r="C30" s="127"/>
      <c r="D30" s="100">
        <f>SUM(Valuation!C15:L15)</f>
        <v>22866.145921844203</v>
      </c>
      <c r="E30"/>
      <c r="G30" s="38"/>
    </row>
    <row r="31" spans="1:7">
      <c r="A31" s="144" t="s">
        <v>169</v>
      </c>
      <c r="B31" s="145"/>
      <c r="C31" s="146"/>
      <c r="D31" s="101">
        <f>D29+D30</f>
        <v>85790.842533540708</v>
      </c>
      <c r="E31"/>
      <c r="G31" s="38"/>
    </row>
    <row r="32" spans="1:7">
      <c r="A32" s="126" t="s">
        <v>36</v>
      </c>
      <c r="B32" s="127"/>
      <c r="C32" s="127"/>
      <c r="D32" s="39">
        <f>Valuation!B24</f>
        <v>0.1</v>
      </c>
      <c r="E32"/>
      <c r="G32" s="38"/>
    </row>
    <row r="33" spans="1:7">
      <c r="A33" s="126" t="s">
        <v>170</v>
      </c>
      <c r="B33" s="127"/>
      <c r="C33" s="127"/>
      <c r="D33" s="101">
        <v>0</v>
      </c>
      <c r="E33"/>
      <c r="G33" s="38"/>
    </row>
    <row r="34" spans="1:7">
      <c r="A34" s="128" t="s">
        <v>171</v>
      </c>
      <c r="B34" s="129"/>
      <c r="C34" s="129"/>
      <c r="D34" s="102">
        <f>Valuation!B25</f>
        <v>77211.758280186637</v>
      </c>
      <c r="E34"/>
      <c r="G34" s="38"/>
    </row>
    <row r="35" spans="1:7">
      <c r="A35" s="132" t="s">
        <v>174</v>
      </c>
      <c r="B35" s="133"/>
      <c r="C35" s="133"/>
      <c r="D35" s="103">
        <f>Valuation!B26</f>
        <v>8074.82</v>
      </c>
      <c r="E35"/>
      <c r="G35" s="38"/>
    </row>
    <row r="36" spans="1:7">
      <c r="A36" s="134" t="s">
        <v>194</v>
      </c>
      <c r="B36" s="135"/>
      <c r="C36" s="135"/>
      <c r="D36" s="103">
        <f>Valuation!B27</f>
        <v>0</v>
      </c>
      <c r="E36"/>
      <c r="G36" s="38"/>
    </row>
    <row r="37" spans="1:7">
      <c r="A37" s="138" t="s">
        <v>191</v>
      </c>
      <c r="B37" s="139"/>
      <c r="C37" s="140"/>
      <c r="D37" s="104">
        <f>Valuation!B29</f>
        <v>3128</v>
      </c>
      <c r="E37"/>
      <c r="G37" s="38"/>
    </row>
    <row r="38" spans="1:7" ht="16.2" thickBot="1">
      <c r="A38" s="136" t="s">
        <v>195</v>
      </c>
      <c r="B38" s="137"/>
      <c r="C38" s="137"/>
      <c r="D38" s="105">
        <f>Valuation!B30</f>
        <v>82158.57828018663</v>
      </c>
      <c r="E38" s="130"/>
      <c r="F38" s="130"/>
      <c r="G38" s="131"/>
    </row>
    <row r="39" spans="1:7" ht="16.2" thickBot="1">
      <c r="A39" s="95" t="s">
        <v>359</v>
      </c>
      <c r="B39" s="96"/>
      <c r="C39" s="97"/>
      <c r="D39" s="105">
        <f ca="1">Valuation!B31</f>
        <v>11531.630068186591</v>
      </c>
      <c r="E39" s="51"/>
      <c r="F39" s="51"/>
      <c r="G39" s="98"/>
    </row>
    <row r="40" spans="1:7" ht="16.2" thickBot="1">
      <c r="A40" s="95" t="s">
        <v>360</v>
      </c>
      <c r="B40" s="96"/>
      <c r="C40" s="97"/>
      <c r="D40" s="107">
        <f>Valuation!B32</f>
        <v>880</v>
      </c>
      <c r="E40" s="51"/>
      <c r="F40" s="51"/>
      <c r="G40" s="98"/>
    </row>
    <row r="41" spans="1:7" ht="16.2" thickBot="1">
      <c r="A41" s="155" t="s">
        <v>188</v>
      </c>
      <c r="B41" s="130"/>
      <c r="C41" s="156"/>
      <c r="D41" s="106">
        <f ca="1">Valuation!B33</f>
        <v>80.257895695454593</v>
      </c>
      <c r="E41" s="51"/>
      <c r="F41" s="52"/>
      <c r="G41" s="53"/>
    </row>
  </sheetData>
  <mergeCells count="34">
    <mergeCell ref="A41:C41"/>
    <mergeCell ref="C7:D7"/>
    <mergeCell ref="F7:G7"/>
    <mergeCell ref="A1:G1"/>
    <mergeCell ref="A2:G2"/>
    <mergeCell ref="A3:G4"/>
    <mergeCell ref="A5:G5"/>
    <mergeCell ref="F6:G6"/>
    <mergeCell ref="C8:D8"/>
    <mergeCell ref="F8:G8"/>
    <mergeCell ref="C9:D9"/>
    <mergeCell ref="F9:G9"/>
    <mergeCell ref="C10:D10"/>
    <mergeCell ref="F10:G10"/>
    <mergeCell ref="A32:C32"/>
    <mergeCell ref="C11:D11"/>
    <mergeCell ref="F11:G11"/>
    <mergeCell ref="F12:G12"/>
    <mergeCell ref="B13:E13"/>
    <mergeCell ref="F13:G13"/>
    <mergeCell ref="A14:G14"/>
    <mergeCell ref="C12:D12"/>
    <mergeCell ref="A27:G27"/>
    <mergeCell ref="A28:C28"/>
    <mergeCell ref="A29:C29"/>
    <mergeCell ref="A30:C30"/>
    <mergeCell ref="A31:C31"/>
    <mergeCell ref="A33:C33"/>
    <mergeCell ref="A34:C34"/>
    <mergeCell ref="E38:G38"/>
    <mergeCell ref="A35:C35"/>
    <mergeCell ref="A36:C36"/>
    <mergeCell ref="A38:C38"/>
    <mergeCell ref="A37:C37"/>
  </mergeCells>
  <pageMargins left="0.75" right="0.75" top="1" bottom="1" header="0.3" footer="0.3"/>
  <pageSetup orientation="portrait" horizontalDpi="0" verticalDpi="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Inputs</vt:lpstr>
      <vt:lpstr>Valuation</vt:lpstr>
      <vt:lpstr>US Industry averages</vt:lpstr>
      <vt:lpstr>Global industry averages</vt:lpstr>
      <vt:lpstr>Input choices</vt:lpstr>
      <vt:lpstr>Option value</vt:lpstr>
      <vt:lpstr>Story &amp; Numbers</vt:lpstr>
    </vt:vector>
  </TitlesOfParts>
  <Company>Stern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Sreerag K</cp:lastModifiedBy>
  <dcterms:created xsi:type="dcterms:W3CDTF">2014-06-07T16:26:10Z</dcterms:created>
  <dcterms:modified xsi:type="dcterms:W3CDTF">2025-05-17T17:25:23Z</dcterms:modified>
</cp:coreProperties>
</file>