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1780" windowHeight="15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E12" i="1"/>
  <c r="D7" i="1"/>
  <c r="G12" i="1"/>
  <c r="G11" i="1"/>
  <c r="F12" i="1"/>
  <c r="F11" i="1"/>
  <c r="D12" i="1"/>
  <c r="J12" i="1"/>
  <c r="E11" i="1"/>
  <c r="D11" i="1"/>
  <c r="J11" i="1"/>
  <c r="H12" i="1"/>
  <c r="O12" i="1"/>
  <c r="K12" i="1"/>
  <c r="K11" i="1"/>
  <c r="I12" i="1"/>
  <c r="P12" i="1"/>
  <c r="Q12" i="1"/>
  <c r="L12" i="1"/>
  <c r="M12" i="1"/>
  <c r="N12" i="1"/>
  <c r="F6" i="1"/>
  <c r="G6" i="1"/>
  <c r="K6" i="1"/>
  <c r="F5" i="1"/>
  <c r="G5" i="1"/>
  <c r="K5" i="1"/>
  <c r="I6" i="1"/>
  <c r="D6" i="1"/>
  <c r="E6" i="1"/>
  <c r="J6" i="1"/>
  <c r="D5" i="1"/>
  <c r="E5" i="1"/>
  <c r="J5" i="1"/>
  <c r="H6" i="1"/>
  <c r="O5" i="1"/>
  <c r="O6" i="1"/>
  <c r="P5" i="1"/>
  <c r="P6" i="1"/>
  <c r="Q6" i="1"/>
  <c r="F7" i="1"/>
  <c r="G7" i="1"/>
  <c r="K7" i="1"/>
  <c r="I7" i="1"/>
  <c r="E7" i="1"/>
  <c r="J7" i="1"/>
  <c r="H7" i="1"/>
  <c r="O7" i="1"/>
  <c r="P7" i="1"/>
  <c r="Q7" i="1"/>
  <c r="F8" i="1"/>
  <c r="G8" i="1"/>
  <c r="K8" i="1"/>
  <c r="I8" i="1"/>
  <c r="E8" i="1"/>
  <c r="J8" i="1"/>
  <c r="H8" i="1"/>
  <c r="O8" i="1"/>
  <c r="P8" i="1"/>
  <c r="Q8" i="1"/>
  <c r="F9" i="1"/>
  <c r="G9" i="1"/>
  <c r="K9" i="1"/>
  <c r="I9" i="1"/>
  <c r="E9" i="1"/>
  <c r="J9" i="1"/>
  <c r="H9" i="1"/>
  <c r="O9" i="1"/>
  <c r="P9" i="1"/>
  <c r="Q9" i="1"/>
  <c r="F10" i="1"/>
  <c r="G10" i="1"/>
  <c r="K10" i="1"/>
  <c r="I10" i="1"/>
  <c r="D10" i="1"/>
  <c r="E10" i="1"/>
  <c r="J10" i="1"/>
  <c r="H10" i="1"/>
  <c r="O10" i="1"/>
  <c r="P10" i="1"/>
  <c r="Q10" i="1"/>
  <c r="Q17" i="1"/>
  <c r="L5" i="1"/>
  <c r="L6" i="1"/>
  <c r="M5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N17" i="1"/>
  <c r="I11" i="1"/>
  <c r="H11" i="1"/>
  <c r="L11" i="1"/>
  <c r="M11" i="1"/>
  <c r="N11" i="1"/>
  <c r="O11" i="1"/>
  <c r="P11" i="1"/>
  <c r="Q11" i="1"/>
  <c r="J4" i="1"/>
  <c r="G4" i="1"/>
  <c r="F4" i="1"/>
  <c r="I5" i="1"/>
  <c r="H5" i="1"/>
  <c r="Q5" i="1"/>
  <c r="N5" i="1"/>
  <c r="Q14" i="1"/>
  <c r="N14" i="1"/>
</calcChain>
</file>

<file path=xl/sharedStrings.xml><?xml version="1.0" encoding="utf-8"?>
<sst xmlns="http://schemas.openxmlformats.org/spreadsheetml/2006/main" count="53" uniqueCount="49">
  <si>
    <t>Year</t>
  </si>
  <si>
    <t>Luminosity</t>
  </si>
  <si>
    <t>Incremental</t>
  </si>
  <si>
    <t>Cumulative</t>
  </si>
  <si>
    <t>Production</t>
  </si>
  <si>
    <t>Analysis</t>
  </si>
  <si>
    <t>Number of Job Slots</t>
  </si>
  <si>
    <t>Storage</t>
  </si>
  <si>
    <t>AOD</t>
  </si>
  <si>
    <t>MiniAOD</t>
  </si>
  <si>
    <t>Projection of Resource Needs at US Tier-2s</t>
  </si>
  <si>
    <t>Rate (kHz)</t>
  </si>
  <si>
    <t>AODSize</t>
  </si>
  <si>
    <t>MC  scale factor</t>
  </si>
  <si>
    <t>Run time - snowmass year</t>
  </si>
  <si>
    <t>MiniAODSize per event</t>
  </si>
  <si>
    <t>MiniAOD replication in US</t>
  </si>
  <si>
    <t>AOD Fraction on disk</t>
  </si>
  <si>
    <t>PB per byte</t>
  </si>
  <si>
    <t>Storage (PB)</t>
  </si>
  <si>
    <t>Per Tier-2 Totals</t>
  </si>
  <si>
    <t>Job Slots</t>
  </si>
  <si>
    <t>$s Per Slot</t>
  </si>
  <si>
    <t>$s Per TB</t>
  </si>
  <si>
    <t>Per Tier-2 Annual Increment</t>
  </si>
  <si>
    <t>Cost Estimate using  past spending projecting  -10% Moore's Law Benefit</t>
  </si>
  <si>
    <t>k$s / Tier-2</t>
  </si>
  <si>
    <t>Cost Estimate using  past spending projecting  -20% Moore's Law Benefit</t>
  </si>
  <si>
    <t>Average Per Tier-2 HW Cost Projection</t>
  </si>
  <si>
    <t>2015 Row is special.  It has current actuals:</t>
  </si>
  <si>
    <t>Existing Slots from Table 1 including opportunistic</t>
  </si>
  <si>
    <t xml:space="preserve">Existing Storage from Table 2 </t>
  </si>
  <si>
    <t>Most benefit from electronics is coming in increased slots per box</t>
  </si>
  <si>
    <t>2015 slot count is scaled up by luminosity increment for production</t>
  </si>
  <si>
    <t xml:space="preserve">2015 slot count is scaled up by cumulative luminosity for analysis </t>
  </si>
  <si>
    <t>A fraction of AOD is saved on disk</t>
  </si>
  <si>
    <t>Comlete MiniAOD for data and MC with 10% replication is saved on disk</t>
  </si>
  <si>
    <t>Assumptions:</t>
  </si>
  <si>
    <t>Actual costs incurred @ Wisconsin are scaled to get starting $s per slot and $s per TB</t>
  </si>
  <si>
    <t>Projections are based on 10% or 20% reduction in costs per slot and per TB due to Moore!</t>
  </si>
  <si>
    <t>Average Per Tier-2 HW Costs using 2017-21 NSF Years only</t>
  </si>
  <si>
    <t>Conclusion: If we can only get $250K per year per tier-2, we need significant R&amp;D</t>
  </si>
  <si>
    <t>This is the justification for the personnel.</t>
  </si>
  <si>
    <t>$s / Tier-2</t>
  </si>
  <si>
    <t>Assume we can continue to use machines through the 5-year period</t>
  </si>
  <si>
    <t>2015 MC Level (fb)</t>
  </si>
  <si>
    <t>2016 can take a reduction assuming 30 fb-1 now</t>
  </si>
  <si>
    <t>2015 resources can be assumed to support 30fb-1</t>
  </si>
  <si>
    <t>We expect that opportunistic resources can provide some of the shortfall, especially in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</si>
</sst>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#,##0;[Red]&quot;$&quot;#,#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/>
    <xf numFmtId="1" fontId="1" fillId="0" borderId="0" xfId="0" applyNumberFormat="1" applyFont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C16" sqref="C16"/>
    </sheetView>
  </sheetViews>
  <sheetFormatPr baseColWidth="10" defaultRowHeight="15" x14ac:dyDescent="0"/>
  <cols>
    <col min="5" max="5" width="13.83203125" bestFit="1" customWidth="1"/>
    <col min="8" max="9" width="0" hidden="1" customWidth="1"/>
    <col min="14" max="14" width="12.83203125" bestFit="1" customWidth="1"/>
  </cols>
  <sheetData>
    <row r="1" spans="1:17" ht="15" customHeight="1">
      <c r="D1" s="12" t="s">
        <v>10</v>
      </c>
      <c r="E1" s="12"/>
      <c r="F1" s="12"/>
      <c r="G1" s="12"/>
      <c r="H1" s="11" t="s">
        <v>24</v>
      </c>
      <c r="I1" s="11"/>
      <c r="J1" s="13" t="s">
        <v>20</v>
      </c>
      <c r="K1" s="13"/>
      <c r="L1" s="11" t="s">
        <v>25</v>
      </c>
      <c r="M1" s="11"/>
      <c r="N1" s="11"/>
      <c r="O1" s="11" t="s">
        <v>27</v>
      </c>
      <c r="P1" s="11"/>
      <c r="Q1" s="11"/>
    </row>
    <row r="2" spans="1:17">
      <c r="A2" t="s">
        <v>0</v>
      </c>
      <c r="B2" s="12" t="s">
        <v>1</v>
      </c>
      <c r="C2" s="12"/>
      <c r="D2" s="12" t="s">
        <v>6</v>
      </c>
      <c r="E2" s="12"/>
      <c r="F2" s="12" t="s">
        <v>19</v>
      </c>
      <c r="G2" s="12"/>
      <c r="H2" s="11"/>
      <c r="I2" s="11"/>
      <c r="J2" s="13"/>
      <c r="K2" s="13"/>
      <c r="L2" s="11"/>
      <c r="M2" s="11"/>
      <c r="N2" s="11"/>
      <c r="O2" s="11"/>
      <c r="P2" s="11"/>
      <c r="Q2" s="11"/>
    </row>
    <row r="3" spans="1:17">
      <c r="B3" t="s">
        <v>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21</v>
      </c>
      <c r="I3" t="s">
        <v>7</v>
      </c>
      <c r="J3" t="s">
        <v>21</v>
      </c>
      <c r="K3" t="s">
        <v>7</v>
      </c>
      <c r="L3" t="s">
        <v>22</v>
      </c>
      <c r="M3" t="s">
        <v>23</v>
      </c>
      <c r="N3" s="7" t="s">
        <v>43</v>
      </c>
      <c r="O3" t="s">
        <v>22</v>
      </c>
      <c r="P3" t="s">
        <v>23</v>
      </c>
      <c r="Q3" s="7" t="s">
        <v>26</v>
      </c>
    </row>
    <row r="4" spans="1:17">
      <c r="A4" s="1">
        <v>2015</v>
      </c>
      <c r="B4">
        <v>3</v>
      </c>
      <c r="C4">
        <f>B4</f>
        <v>3</v>
      </c>
      <c r="D4">
        <v>15000</v>
      </c>
      <c r="E4">
        <v>15000</v>
      </c>
      <c r="F4" s="4">
        <f>(C4+C14)*C16*C17*C20*C21/C22</f>
        <v>3.7025999999999999</v>
      </c>
      <c r="G4" s="4">
        <f>(C4+C14)*C16*C17*C18*C19/C22</f>
        <v>12.6225</v>
      </c>
      <c r="H4" s="5"/>
      <c r="I4" s="6"/>
      <c r="J4" s="5">
        <f>40698/7</f>
        <v>5814</v>
      </c>
      <c r="K4" s="4">
        <v>2</v>
      </c>
      <c r="L4" s="10">
        <v>118</v>
      </c>
      <c r="M4" s="10">
        <v>56</v>
      </c>
      <c r="N4" s="10"/>
      <c r="O4" s="10">
        <v>118</v>
      </c>
      <c r="P4" s="10">
        <v>56</v>
      </c>
      <c r="Q4" s="10"/>
    </row>
    <row r="5" spans="1:17">
      <c r="A5" s="1">
        <v>2016</v>
      </c>
      <c r="B5">
        <v>36</v>
      </c>
      <c r="C5">
        <f>C4+B5</f>
        <v>39</v>
      </c>
      <c r="D5">
        <f>D4*B5/C14</f>
        <v>18000</v>
      </c>
      <c r="E5" s="5">
        <f>E4*C5/C14</f>
        <v>19500</v>
      </c>
      <c r="F5" s="5">
        <f>(C5*C15)*C16*C17*C20*C21/C22</f>
        <v>8.7515999999999998</v>
      </c>
      <c r="G5">
        <f>(C5*C15)*C16*C17*C18*C19/C22</f>
        <v>29.835000000000001</v>
      </c>
      <c r="H5" s="5">
        <f>J5-J4</f>
        <v>-456.85714285714312</v>
      </c>
      <c r="I5" s="4">
        <f>K5-K4</f>
        <v>3.5123714285714289</v>
      </c>
      <c r="J5" s="5">
        <f t="shared" ref="J5:J11" si="0">(D5+E5)/7</f>
        <v>5357.1428571428569</v>
      </c>
      <c r="K5" s="4">
        <f t="shared" ref="K5:K11" si="1">SUM(F5:G5)/7</f>
        <v>5.5123714285714289</v>
      </c>
      <c r="L5" s="10">
        <f>L4*0.9</f>
        <v>106.2</v>
      </c>
      <c r="M5" s="10">
        <f>M4*0.9</f>
        <v>50.4</v>
      </c>
      <c r="N5" s="10">
        <f t="shared" ref="N5:N11" si="2">((H5*L5)+(I5*2*1000*M5))</f>
        <v>305528.81142857147</v>
      </c>
      <c r="O5" s="10">
        <f>O4*0.8</f>
        <v>94.4</v>
      </c>
      <c r="P5" s="10">
        <f>P4*0.8</f>
        <v>44.800000000000004</v>
      </c>
      <c r="Q5" s="10">
        <f>((H5*O5)+(I5*2*1000*P5))</f>
        <v>271581.1657142858</v>
      </c>
    </row>
    <row r="6" spans="1:17">
      <c r="A6" s="1">
        <v>2017</v>
      </c>
      <c r="B6">
        <v>40</v>
      </c>
      <c r="C6">
        <f t="shared" ref="C6:C11" si="3">C5+B6</f>
        <v>79</v>
      </c>
      <c r="D6">
        <f>D4*B6/C14</f>
        <v>20000</v>
      </c>
      <c r="E6" s="5">
        <f>E4*C6/C14</f>
        <v>39500</v>
      </c>
      <c r="F6" s="5">
        <f>(C6*C15)*C16*C17*C20*C21/C22</f>
        <v>17.727599999999999</v>
      </c>
      <c r="G6">
        <f>(C6*C15)*C16*C17*C18*C19/C22</f>
        <v>60.435000000000002</v>
      </c>
      <c r="H6" s="5">
        <f t="shared" ref="H6:H11" si="4">J6-J5</f>
        <v>3142.8571428571431</v>
      </c>
      <c r="I6" s="4">
        <f t="shared" ref="I6:I11" si="5">K6-K5</f>
        <v>5.653714285714285</v>
      </c>
      <c r="J6" s="5">
        <f t="shared" si="0"/>
        <v>8500</v>
      </c>
      <c r="K6" s="4">
        <f t="shared" si="1"/>
        <v>11.166085714285714</v>
      </c>
      <c r="L6" s="10">
        <f>L5*0.9</f>
        <v>95.58</v>
      </c>
      <c r="M6" s="10">
        <f t="shared" ref="M6:M12" si="6">M5*0.9</f>
        <v>45.36</v>
      </c>
      <c r="N6" s="10">
        <f t="shared" si="2"/>
        <v>813299.24571428564</v>
      </c>
      <c r="O6" s="10">
        <f t="shared" ref="O6:O12" si="7">O5*0.8</f>
        <v>75.52000000000001</v>
      </c>
      <c r="P6" s="10">
        <f t="shared" ref="P6:P12" si="8">P5*0.8</f>
        <v>35.840000000000003</v>
      </c>
      <c r="Q6" s="10">
        <f t="shared" ref="Q6:Q11" si="9">((H6*O6)+(I6*2*1000*P6))</f>
        <v>642606.81142857147</v>
      </c>
    </row>
    <row r="7" spans="1:17">
      <c r="A7" s="1">
        <v>2018</v>
      </c>
      <c r="B7">
        <v>40</v>
      </c>
      <c r="C7">
        <f t="shared" si="3"/>
        <v>119</v>
      </c>
      <c r="D7">
        <f>D4*B7/C14</f>
        <v>20000</v>
      </c>
      <c r="E7" s="5">
        <f>E4*C7/C14</f>
        <v>59500</v>
      </c>
      <c r="F7" s="5">
        <f>(C7*C15)*C16*C17*C20*C21/C22</f>
        <v>26.703600000000002</v>
      </c>
      <c r="G7">
        <f>(C7*C15)*C16*C17*C18*C19/C22</f>
        <v>91.034999999999997</v>
      </c>
      <c r="H7" s="5">
        <f t="shared" si="4"/>
        <v>2857.1428571428569</v>
      </c>
      <c r="I7" s="4">
        <f t="shared" si="5"/>
        <v>5.6537142857142832</v>
      </c>
      <c r="J7" s="5">
        <f t="shared" si="0"/>
        <v>11357.142857142857</v>
      </c>
      <c r="K7" s="4">
        <f t="shared" si="1"/>
        <v>16.819799999999997</v>
      </c>
      <c r="L7" s="10">
        <f t="shared" ref="L7:L12" si="10">L6*0.9</f>
        <v>86.022000000000006</v>
      </c>
      <c r="M7" s="10">
        <f t="shared" si="6"/>
        <v>40.823999999999998</v>
      </c>
      <c r="N7" s="10">
        <f t="shared" si="2"/>
        <v>707391.60685714264</v>
      </c>
      <c r="O7" s="10">
        <f t="shared" si="7"/>
        <v>60.416000000000011</v>
      </c>
      <c r="P7" s="10">
        <f t="shared" si="8"/>
        <v>28.672000000000004</v>
      </c>
      <c r="Q7" s="10">
        <f t="shared" si="9"/>
        <v>496823.73485714279</v>
      </c>
    </row>
    <row r="8" spans="1:17">
      <c r="A8" s="2">
        <v>2019</v>
      </c>
      <c r="B8">
        <v>0</v>
      </c>
      <c r="C8">
        <f t="shared" si="3"/>
        <v>119</v>
      </c>
      <c r="D8">
        <v>10000</v>
      </c>
      <c r="E8" s="5">
        <f>E4*C8/C14</f>
        <v>59500</v>
      </c>
      <c r="F8" s="5">
        <f>(C8*C15)*C16*C17*C20*C21/C22</f>
        <v>26.703600000000002</v>
      </c>
      <c r="G8">
        <f>(C8*C15)*C16*C17*C18*C19/C22</f>
        <v>91.034999999999997</v>
      </c>
      <c r="H8" s="5">
        <f t="shared" si="4"/>
        <v>-1428.5714285714275</v>
      </c>
      <c r="I8" s="4">
        <f t="shared" si="5"/>
        <v>0</v>
      </c>
      <c r="J8" s="5">
        <f t="shared" si="0"/>
        <v>9928.5714285714294</v>
      </c>
      <c r="K8" s="4">
        <f t="shared" si="1"/>
        <v>16.819799999999997</v>
      </c>
      <c r="L8" s="10">
        <f t="shared" si="10"/>
        <v>77.419800000000009</v>
      </c>
      <c r="M8" s="10">
        <f t="shared" si="6"/>
        <v>36.741599999999998</v>
      </c>
      <c r="N8" s="10">
        <f t="shared" si="2"/>
        <v>-110599.71428571422</v>
      </c>
      <c r="O8" s="10">
        <f t="shared" si="7"/>
        <v>48.332800000000013</v>
      </c>
      <c r="P8" s="10">
        <f t="shared" si="8"/>
        <v>22.937600000000003</v>
      </c>
      <c r="Q8" s="10">
        <f t="shared" si="9"/>
        <v>-69046.857142857116</v>
      </c>
    </row>
    <row r="9" spans="1:17">
      <c r="A9" s="2">
        <v>2020</v>
      </c>
      <c r="B9">
        <v>0</v>
      </c>
      <c r="C9">
        <f t="shared" si="3"/>
        <v>119</v>
      </c>
      <c r="D9">
        <v>10000</v>
      </c>
      <c r="E9" s="5">
        <f>E4*C9/C14</f>
        <v>59500</v>
      </c>
      <c r="F9" s="5">
        <f>(C9*C15)*C16*C17*C20*C21/C22</f>
        <v>26.703600000000002</v>
      </c>
      <c r="G9">
        <f>(C9*C15)*C16*C17*C18*C19/C22</f>
        <v>91.034999999999997</v>
      </c>
      <c r="H9" s="5">
        <f t="shared" si="4"/>
        <v>0</v>
      </c>
      <c r="I9" s="4">
        <f t="shared" si="5"/>
        <v>0</v>
      </c>
      <c r="J9" s="5">
        <f t="shared" si="0"/>
        <v>9928.5714285714294</v>
      </c>
      <c r="K9" s="4">
        <f t="shared" si="1"/>
        <v>16.819799999999997</v>
      </c>
      <c r="L9" s="10">
        <f t="shared" si="10"/>
        <v>69.677820000000011</v>
      </c>
      <c r="M9" s="10">
        <f t="shared" si="6"/>
        <v>33.067439999999998</v>
      </c>
      <c r="N9" s="10">
        <f t="shared" si="2"/>
        <v>0</v>
      </c>
      <c r="O9" s="10">
        <f t="shared" si="7"/>
        <v>38.666240000000016</v>
      </c>
      <c r="P9" s="10">
        <f t="shared" si="8"/>
        <v>18.350080000000002</v>
      </c>
      <c r="Q9" s="10">
        <f t="shared" si="9"/>
        <v>0</v>
      </c>
    </row>
    <row r="10" spans="1:17">
      <c r="A10" s="3">
        <v>2021</v>
      </c>
      <c r="B10">
        <v>60</v>
      </c>
      <c r="C10">
        <f t="shared" si="3"/>
        <v>179</v>
      </c>
      <c r="D10">
        <f>D4*B10/C14</f>
        <v>30000</v>
      </c>
      <c r="E10" s="5">
        <f>E4*C10/C14</f>
        <v>89500</v>
      </c>
      <c r="F10" s="5">
        <f>(C10*C15)*C16*C17*C20*C21/C22</f>
        <v>40.1676</v>
      </c>
      <c r="G10">
        <f>(C10*C15)*C16*C17*C18*C19/C22</f>
        <v>136.935</v>
      </c>
      <c r="H10" s="5">
        <f t="shared" si="4"/>
        <v>7142.8571428571431</v>
      </c>
      <c r="I10" s="4">
        <f t="shared" si="5"/>
        <v>8.4805714285714302</v>
      </c>
      <c r="J10" s="5">
        <f t="shared" si="0"/>
        <v>17071.428571428572</v>
      </c>
      <c r="K10" s="4">
        <f t="shared" si="1"/>
        <v>25.300371428571427</v>
      </c>
      <c r="L10" s="10">
        <f t="shared" si="10"/>
        <v>62.710038000000011</v>
      </c>
      <c r="M10" s="10">
        <f t="shared" si="6"/>
        <v>29.760695999999999</v>
      </c>
      <c r="N10" s="10">
        <f t="shared" si="2"/>
        <v>952704.25924114301</v>
      </c>
      <c r="O10" s="10">
        <f t="shared" si="7"/>
        <v>30.932992000000013</v>
      </c>
      <c r="P10" s="10">
        <f t="shared" si="8"/>
        <v>14.680064000000002</v>
      </c>
      <c r="Q10" s="10">
        <f t="shared" si="9"/>
        <v>469940.605513143</v>
      </c>
    </row>
    <row r="11" spans="1:17">
      <c r="A11" s="3">
        <v>2022</v>
      </c>
      <c r="B11">
        <v>60</v>
      </c>
      <c r="C11">
        <f t="shared" si="3"/>
        <v>239</v>
      </c>
      <c r="D11">
        <f>D4*B11/C14</f>
        <v>30000</v>
      </c>
      <c r="E11" s="5">
        <f>E4*C11/C14</f>
        <v>119500</v>
      </c>
      <c r="F11" s="5">
        <f>(C11*C15)*C16*C17*C20*C21/C22</f>
        <v>53.631599999999999</v>
      </c>
      <c r="G11">
        <f>(C11*C15)*C16*C17*C18*C19/C22</f>
        <v>182.83500000000001</v>
      </c>
      <c r="H11" s="5">
        <f t="shared" si="4"/>
        <v>4285.7142857142862</v>
      </c>
      <c r="I11" s="4">
        <f t="shared" si="5"/>
        <v>8.4805714285714267</v>
      </c>
      <c r="J11" s="5">
        <f t="shared" si="0"/>
        <v>21357.142857142859</v>
      </c>
      <c r="K11" s="4">
        <f t="shared" si="1"/>
        <v>33.780942857142854</v>
      </c>
      <c r="L11" s="10">
        <f t="shared" si="10"/>
        <v>56.439034200000009</v>
      </c>
      <c r="M11" s="10">
        <f t="shared" si="6"/>
        <v>26.784626400000001</v>
      </c>
      <c r="N11" s="10">
        <f t="shared" si="2"/>
        <v>696179.44988845708</v>
      </c>
      <c r="O11" s="10">
        <f t="shared" si="7"/>
        <v>24.746393600000012</v>
      </c>
      <c r="P11" s="10">
        <f t="shared" si="8"/>
        <v>11.744051200000001</v>
      </c>
      <c r="Q11" s="10">
        <f t="shared" si="9"/>
        <v>305248.50269622862</v>
      </c>
    </row>
    <row r="12" spans="1:17">
      <c r="A12" s="3">
        <v>2023</v>
      </c>
      <c r="B12">
        <v>60</v>
      </c>
      <c r="C12">
        <f t="shared" ref="C12" si="11">C11+B12</f>
        <v>299</v>
      </c>
      <c r="D12">
        <f>D4*B12/C14</f>
        <v>30000</v>
      </c>
      <c r="E12" s="5">
        <f>E4*C12/C14</f>
        <v>149500</v>
      </c>
      <c r="F12" s="5">
        <f>(C12*C15)*C16*C17*C20*C21/C22</f>
        <v>67.095600000000005</v>
      </c>
      <c r="G12">
        <f>(C12*C15)*C16*C17*C18*C19/C22</f>
        <v>228.73500000000001</v>
      </c>
      <c r="H12" s="5">
        <f t="shared" ref="H12" si="12">J12-J11</f>
        <v>4285.7142857142826</v>
      </c>
      <c r="I12" s="4">
        <f t="shared" ref="I12" si="13">K12-K11</f>
        <v>8.4805714285714302</v>
      </c>
      <c r="J12" s="5">
        <f t="shared" ref="J12" si="14">(D12+E12)/7</f>
        <v>25642.857142857141</v>
      </c>
      <c r="K12" s="4">
        <f t="shared" ref="K12" si="15">SUM(F12:G12)/7</f>
        <v>42.261514285714284</v>
      </c>
      <c r="L12" s="10">
        <f t="shared" si="10"/>
        <v>50.795130780000008</v>
      </c>
      <c r="M12" s="10">
        <f t="shared" si="6"/>
        <v>24.106163760000001</v>
      </c>
      <c r="N12" s="10">
        <f t="shared" ref="N12" si="16">((H12*L12)+(I12*2*1000*M12))</f>
        <v>626561.50489961135</v>
      </c>
      <c r="O12" s="10">
        <f t="shared" si="7"/>
        <v>19.797114880000009</v>
      </c>
      <c r="P12" s="10">
        <f t="shared" si="8"/>
        <v>9.3952409600000006</v>
      </c>
      <c r="Q12" s="10">
        <f t="shared" ref="Q12" si="17">((H12*O12)+(I12*2*1000*P12))</f>
        <v>244198.80215698286</v>
      </c>
    </row>
    <row r="14" spans="1:17">
      <c r="A14" t="s">
        <v>45</v>
      </c>
      <c r="C14">
        <v>30</v>
      </c>
      <c r="K14" s="8" t="s">
        <v>28</v>
      </c>
      <c r="L14" s="8"/>
      <c r="M14" s="8"/>
      <c r="N14" s="9">
        <f>AVERAGE(N5:N11)</f>
        <v>480643.37983484083</v>
      </c>
      <c r="O14" s="8"/>
      <c r="P14" s="8"/>
      <c r="Q14" s="9">
        <f>AVERAGE(Q5:Q11)</f>
        <v>302450.56615235924</v>
      </c>
    </row>
    <row r="15" spans="1:17">
      <c r="A15" t="s">
        <v>13</v>
      </c>
      <c r="C15">
        <v>2</v>
      </c>
      <c r="K15" s="8"/>
      <c r="L15" s="8"/>
      <c r="M15" s="8"/>
      <c r="N15" s="8"/>
      <c r="O15" s="8"/>
      <c r="P15" s="8"/>
      <c r="Q15" s="8"/>
    </row>
    <row r="16" spans="1:17">
      <c r="A16" t="s">
        <v>11</v>
      </c>
      <c r="C16">
        <v>1</v>
      </c>
      <c r="K16" s="8" t="s">
        <v>40</v>
      </c>
      <c r="L16" s="8"/>
      <c r="M16" s="8"/>
      <c r="N16" s="8"/>
      <c r="O16" s="8"/>
      <c r="P16" s="8"/>
      <c r="Q16" s="8"/>
    </row>
    <row r="17" spans="1:17">
      <c r="A17" t="s">
        <v>14</v>
      </c>
      <c r="C17">
        <v>5100000</v>
      </c>
      <c r="K17" s="8"/>
      <c r="L17" s="8"/>
      <c r="M17" s="8"/>
      <c r="N17" s="9">
        <f>AVERAGE(N6:N10)</f>
        <v>472559.0795053714</v>
      </c>
      <c r="O17" s="8"/>
      <c r="P17" s="8"/>
      <c r="Q17" s="9">
        <f>AVERAGE(Q6:Q10)</f>
        <v>308064.8589312</v>
      </c>
    </row>
    <row r="18" spans="1:17">
      <c r="A18" t="s">
        <v>15</v>
      </c>
      <c r="C18">
        <v>50000</v>
      </c>
      <c r="K18" s="8"/>
      <c r="L18" s="8"/>
      <c r="M18" s="8"/>
      <c r="N18" s="8"/>
      <c r="O18" s="8"/>
      <c r="P18" s="8"/>
      <c r="Q18" s="8"/>
    </row>
    <row r="19" spans="1:17">
      <c r="A19" t="s">
        <v>16</v>
      </c>
      <c r="C19">
        <v>1.5</v>
      </c>
      <c r="K19" s="8" t="s">
        <v>41</v>
      </c>
      <c r="L19" s="8"/>
      <c r="M19" s="8"/>
      <c r="N19" s="8"/>
      <c r="O19" s="8"/>
      <c r="P19" s="8"/>
      <c r="Q19" s="8"/>
    </row>
    <row r="20" spans="1:17">
      <c r="A20" t="s">
        <v>12</v>
      </c>
      <c r="C20">
        <v>220000</v>
      </c>
      <c r="K20" s="8" t="s">
        <v>42</v>
      </c>
      <c r="L20" s="8"/>
      <c r="M20" s="8"/>
      <c r="N20" s="8"/>
      <c r="O20" s="8"/>
      <c r="P20" s="8"/>
      <c r="Q20" s="8"/>
    </row>
    <row r="21" spans="1:17">
      <c r="A21" t="s">
        <v>17</v>
      </c>
      <c r="C21">
        <v>0.1</v>
      </c>
      <c r="K21" s="8" t="s">
        <v>48</v>
      </c>
    </row>
    <row r="22" spans="1:17">
      <c r="A22" t="s">
        <v>18</v>
      </c>
      <c r="C22">
        <v>1000000000000</v>
      </c>
    </row>
    <row r="24" spans="1:17">
      <c r="E24" t="s">
        <v>37</v>
      </c>
      <c r="K24" t="s">
        <v>44</v>
      </c>
    </row>
    <row r="25" spans="1:17">
      <c r="A25" t="s">
        <v>29</v>
      </c>
      <c r="E25" t="s">
        <v>33</v>
      </c>
      <c r="K25" t="s">
        <v>30</v>
      </c>
    </row>
    <row r="26" spans="1:17">
      <c r="A26" t="s">
        <v>47</v>
      </c>
      <c r="E26" t="s">
        <v>34</v>
      </c>
      <c r="K26" t="s">
        <v>31</v>
      </c>
    </row>
    <row r="27" spans="1:17">
      <c r="A27" t="s">
        <v>46</v>
      </c>
      <c r="L27" t="s">
        <v>38</v>
      </c>
    </row>
    <row r="28" spans="1:17">
      <c r="E28" t="s">
        <v>35</v>
      </c>
      <c r="L28" t="s">
        <v>39</v>
      </c>
    </row>
    <row r="29" spans="1:17">
      <c r="E29" t="s">
        <v>36</v>
      </c>
      <c r="L29" t="s">
        <v>32</v>
      </c>
    </row>
  </sheetData>
  <mergeCells count="8">
    <mergeCell ref="H1:I2"/>
    <mergeCell ref="L1:N2"/>
    <mergeCell ref="O1:Q2"/>
    <mergeCell ref="B2:C2"/>
    <mergeCell ref="D2:E2"/>
    <mergeCell ref="F2:G2"/>
    <mergeCell ref="D1:G1"/>
    <mergeCell ref="J1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Sridhara Dasu</dc:creator>
  <cp:lastModifiedBy>Sridhara Dasu</cp:lastModifiedBy>
  <dcterms:created xsi:type="dcterms:W3CDTF">2015-12-07T10:18:24Z</dcterms:created>
  <dcterms:modified xsi:type="dcterms:W3CDTF">2015-12-11T13:17:23Z</dcterms:modified>
</cp:coreProperties>
</file>