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xcel Dashboard\"/>
    </mc:Choice>
  </mc:AlternateContent>
  <xr:revisionPtr revIDLastSave="0" documentId="13_ncr:1_{1F15CEB8-2BED-47E6-90C2-3BD1DA8A8345}" xr6:coauthVersionLast="47" xr6:coauthVersionMax="47" xr10:uidLastSave="{00000000-0000-0000-0000-000000000000}"/>
  <bookViews>
    <workbookView xWindow="-110" yWindow="-110" windowWidth="19420" windowHeight="10300" xr2:uid="{6D7B1F00-F367-4486-A91E-415681B297F7}"/>
  </bookViews>
  <sheets>
    <sheet name="Input Data" sheetId="1" r:id="rId1"/>
    <sheet name="Rental" sheetId="8" r:id="rId2"/>
    <sheet name="Revenue" sheetId="7" r:id="rId3"/>
    <sheet name="P&amp;L" sheetId="6" r:id="rId4"/>
    <sheet name="Fixed Assets" sheetId="5" r:id="rId5"/>
    <sheet name="Balance sheet" sheetId="4" r:id="rId6"/>
    <sheet name="Cashflow" sheetId="3" r:id="rId7"/>
    <sheet name="MC Donalds frachise" sheetId="2" r:id="rId8"/>
    <sheet name="Output" sheetId="10" r:id="rId9"/>
  </sheets>
  <definedNames>
    <definedName name="_xlnm._FilterDatabase" localSheetId="4" hidden="1">'Fixed Assets'!$C$1:$H$9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3" i="2"/>
  <c r="C10" i="2" s="1"/>
  <c r="C12" i="2" s="1"/>
  <c r="H7" i="2"/>
  <c r="G7" i="2"/>
  <c r="F7" i="2"/>
  <c r="E7" i="2"/>
  <c r="D7" i="2"/>
  <c r="D27" i="3"/>
  <c r="F5" i="4"/>
  <c r="G23" i="3" s="1"/>
  <c r="H23" i="3"/>
  <c r="E23" i="3"/>
  <c r="D23" i="3"/>
  <c r="H20" i="3"/>
  <c r="G20" i="3"/>
  <c r="F20" i="3"/>
  <c r="E20" i="3"/>
  <c r="D19" i="3"/>
  <c r="D18" i="3"/>
  <c r="D17" i="3"/>
  <c r="D16" i="3"/>
  <c r="D15" i="3"/>
  <c r="D14" i="3"/>
  <c r="D20" i="3" s="1"/>
  <c r="H6" i="3"/>
  <c r="G6" i="3"/>
  <c r="F6" i="3"/>
  <c r="E6" i="3"/>
  <c r="D6" i="3"/>
  <c r="C7" i="4"/>
  <c r="H5" i="4"/>
  <c r="G5" i="4"/>
  <c r="E5" i="4"/>
  <c r="D5" i="4"/>
  <c r="C30" i="4"/>
  <c r="C40" i="6"/>
  <c r="A36" i="6"/>
  <c r="A35" i="6"/>
  <c r="A34" i="6"/>
  <c r="A33" i="6"/>
  <c r="A32" i="6"/>
  <c r="A31" i="6"/>
  <c r="D55" i="5"/>
  <c r="D45" i="5"/>
  <c r="D35" i="5"/>
  <c r="D25" i="5"/>
  <c r="D15" i="5"/>
  <c r="D5" i="5"/>
  <c r="C54" i="5"/>
  <c r="C57" i="5" s="1"/>
  <c r="C44" i="5"/>
  <c r="C47" i="5" s="1"/>
  <c r="C34" i="5"/>
  <c r="C37" i="5" s="1"/>
  <c r="C38" i="5" s="1"/>
  <c r="C41" i="5" s="1"/>
  <c r="C27" i="5"/>
  <c r="C28" i="5" s="1"/>
  <c r="C31" i="5" s="1"/>
  <c r="C24" i="5"/>
  <c r="C17" i="5"/>
  <c r="C18" i="5" s="1"/>
  <c r="C21" i="5" s="1"/>
  <c r="C14" i="5"/>
  <c r="C4" i="5"/>
  <c r="C7" i="5" s="1"/>
  <c r="C8" i="5" s="1"/>
  <c r="C3" i="8"/>
  <c r="H10" i="8"/>
  <c r="C6" i="8"/>
  <c r="C2" i="7"/>
  <c r="D2" i="7" s="1"/>
  <c r="E2" i="7" s="1"/>
  <c r="F2" i="7" s="1"/>
  <c r="G2" i="7" s="1"/>
  <c r="H2" i="7" s="1"/>
  <c r="H11" i="7" s="1"/>
  <c r="C2" i="6"/>
  <c r="D2" i="6" s="1"/>
  <c r="E2" i="6" s="1"/>
  <c r="F2" i="6" s="1"/>
  <c r="G2" i="6" s="1"/>
  <c r="H2" i="6" s="1"/>
  <c r="H22" i="6" s="1"/>
  <c r="C2" i="5"/>
  <c r="D2" i="5" s="1"/>
  <c r="E2" i="5" s="1"/>
  <c r="F2" i="5" s="1"/>
  <c r="G2" i="5" s="1"/>
  <c r="H2" i="5" s="1"/>
  <c r="C2" i="4"/>
  <c r="D2" i="4" s="1"/>
  <c r="E2" i="4" s="1"/>
  <c r="F2" i="4" s="1"/>
  <c r="G2" i="4" s="1"/>
  <c r="H2" i="4" s="1"/>
  <c r="C2" i="3"/>
  <c r="D2" i="3" s="1"/>
  <c r="E2" i="3" s="1"/>
  <c r="F2" i="3" s="1"/>
  <c r="G2" i="3" s="1"/>
  <c r="H2" i="3" s="1"/>
  <c r="C2" i="2"/>
  <c r="D2" i="2" s="1"/>
  <c r="E2" i="2" s="1"/>
  <c r="F2" i="2" s="1"/>
  <c r="G2" i="2" s="1"/>
  <c r="H2" i="2" s="1"/>
  <c r="C2" i="10"/>
  <c r="C2" i="8"/>
  <c r="D2" i="8" s="1"/>
  <c r="E2" i="8" s="1"/>
  <c r="F2" i="8" s="1"/>
  <c r="G2" i="8" s="1"/>
  <c r="H2" i="8" s="1"/>
  <c r="H5" i="8" s="1"/>
  <c r="B24" i="1"/>
  <c r="F23" i="3" l="1"/>
  <c r="C29" i="5"/>
  <c r="D4" i="5"/>
  <c r="D7" i="5" s="1"/>
  <c r="C58" i="5"/>
  <c r="C61" i="5" s="1"/>
  <c r="D54" i="5"/>
  <c r="D57" i="5" s="1"/>
  <c r="D58" i="5" s="1"/>
  <c r="C48" i="5"/>
  <c r="C51" i="5" s="1"/>
  <c r="D44" i="5"/>
  <c r="D47" i="5" s="1"/>
  <c r="D34" i="5"/>
  <c r="D37" i="5" s="1"/>
  <c r="D38" i="5" s="1"/>
  <c r="C39" i="5"/>
  <c r="D24" i="5"/>
  <c r="D27" i="5" s="1"/>
  <c r="D28" i="5" s="1"/>
  <c r="D14" i="5"/>
  <c r="D17" i="5" s="1"/>
  <c r="D18" i="5" s="1"/>
  <c r="C19" i="5"/>
  <c r="C19" i="6"/>
  <c r="D19" i="6" s="1"/>
  <c r="E19" i="6" s="1"/>
  <c r="F19" i="6" s="1"/>
  <c r="G19" i="6" s="1"/>
  <c r="H19" i="6" s="1"/>
  <c r="E23" i="6"/>
  <c r="C22" i="6"/>
  <c r="H23" i="6"/>
  <c r="F22" i="6"/>
  <c r="D24" i="6"/>
  <c r="G25" i="6"/>
  <c r="C23" i="6"/>
  <c r="H24" i="6"/>
  <c r="F25" i="6"/>
  <c r="G22" i="6"/>
  <c r="E24" i="6"/>
  <c r="H25" i="6"/>
  <c r="C24" i="6"/>
  <c r="E22" i="6"/>
  <c r="F24" i="6"/>
  <c r="C25" i="6"/>
  <c r="C18" i="6"/>
  <c r="D18" i="6" s="1"/>
  <c r="E18" i="6" s="1"/>
  <c r="F18" i="6" s="1"/>
  <c r="G18" i="6" s="1"/>
  <c r="H18" i="6" s="1"/>
  <c r="D23" i="6"/>
  <c r="G24" i="6"/>
  <c r="C20" i="6"/>
  <c r="D20" i="6" s="1"/>
  <c r="E20" i="6" s="1"/>
  <c r="F20" i="6" s="1"/>
  <c r="G20" i="6" s="1"/>
  <c r="H20" i="6" s="1"/>
  <c r="F23" i="6"/>
  <c r="D25" i="6"/>
  <c r="D22" i="6"/>
  <c r="G23" i="6"/>
  <c r="E25" i="6"/>
  <c r="D4" i="7"/>
  <c r="E4" i="7"/>
  <c r="G4" i="7"/>
  <c r="F11" i="7"/>
  <c r="C13" i="7"/>
  <c r="D13" i="7"/>
  <c r="C4" i="8"/>
  <c r="D4" i="8" s="1"/>
  <c r="C5" i="8"/>
  <c r="C3" i="7"/>
  <c r="H4" i="7"/>
  <c r="E13" i="7"/>
  <c r="D5" i="8"/>
  <c r="E3" i="7"/>
  <c r="C8" i="7"/>
  <c r="D8" i="7" s="1"/>
  <c r="E8" i="7" s="1"/>
  <c r="F8" i="7" s="1"/>
  <c r="G8" i="7" s="1"/>
  <c r="H8" i="7" s="1"/>
  <c r="G13" i="7"/>
  <c r="E5" i="8"/>
  <c r="F3" i="7"/>
  <c r="C9" i="7"/>
  <c r="D9" i="7" s="1"/>
  <c r="E9" i="7" s="1"/>
  <c r="F9" i="7" s="1"/>
  <c r="G9" i="7" s="1"/>
  <c r="H9" i="7" s="1"/>
  <c r="H13" i="7"/>
  <c r="F5" i="8"/>
  <c r="H3" i="7"/>
  <c r="C11" i="7"/>
  <c r="C19" i="7"/>
  <c r="D19" i="7" s="1"/>
  <c r="E19" i="7" s="1"/>
  <c r="F19" i="7" s="1"/>
  <c r="G19" i="7" s="1"/>
  <c r="H19" i="7" s="1"/>
  <c r="G5" i="8"/>
  <c r="C4" i="7"/>
  <c r="E11" i="7"/>
  <c r="G3" i="7"/>
  <c r="F4" i="7"/>
  <c r="D11" i="7"/>
  <c r="F13" i="7"/>
  <c r="G11" i="7"/>
  <c r="D3" i="7"/>
  <c r="D48" i="5" l="1"/>
  <c r="D51" i="5" s="1"/>
  <c r="D35" i="6" s="1"/>
  <c r="C49" i="5"/>
  <c r="D8" i="5"/>
  <c r="D23" i="4" s="1"/>
  <c r="D24" i="4" s="1"/>
  <c r="D22" i="4"/>
  <c r="C11" i="5"/>
  <c r="C9" i="5"/>
  <c r="E4" i="5"/>
  <c r="E7" i="5" s="1"/>
  <c r="D61" i="5"/>
  <c r="D36" i="6" s="1"/>
  <c r="E54" i="5"/>
  <c r="E57" i="5" s="1"/>
  <c r="E58" i="5" s="1"/>
  <c r="E61" i="5" s="1"/>
  <c r="E36" i="6" s="1"/>
  <c r="C59" i="5"/>
  <c r="E44" i="5"/>
  <c r="E47" i="5" s="1"/>
  <c r="E48" i="5" s="1"/>
  <c r="D41" i="5"/>
  <c r="D34" i="6" s="1"/>
  <c r="E34" i="5"/>
  <c r="E37" i="5" s="1"/>
  <c r="E38" i="5" s="1"/>
  <c r="D31" i="5"/>
  <c r="D33" i="6" s="1"/>
  <c r="E24" i="5"/>
  <c r="E27" i="5" s="1"/>
  <c r="E28" i="5" s="1"/>
  <c r="D21" i="5"/>
  <c r="D32" i="6" s="1"/>
  <c r="E14" i="5"/>
  <c r="E17" i="5" s="1"/>
  <c r="E18" i="5" s="1"/>
  <c r="G5" i="7"/>
  <c r="E5" i="7"/>
  <c r="H5" i="7"/>
  <c r="D5" i="7"/>
  <c r="F5" i="7"/>
  <c r="C5" i="7"/>
  <c r="E4" i="8"/>
  <c r="D7" i="8"/>
  <c r="C7" i="8"/>
  <c r="C9" i="8" s="1"/>
  <c r="C11" i="8" s="1"/>
  <c r="F17" i="7"/>
  <c r="F24" i="7" s="1"/>
  <c r="D16" i="7"/>
  <c r="D23" i="7" s="1"/>
  <c r="D34" i="7" s="1"/>
  <c r="E17" i="7"/>
  <c r="E24" i="7" s="1"/>
  <c r="C16" i="7"/>
  <c r="C23" i="7" s="1"/>
  <c r="C34" i="7" s="1"/>
  <c r="D17" i="7"/>
  <c r="D24" i="7" s="1"/>
  <c r="C17" i="7"/>
  <c r="C24" i="7" s="1"/>
  <c r="H16" i="7"/>
  <c r="H23" i="7" s="1"/>
  <c r="H34" i="7" s="1"/>
  <c r="G17" i="7"/>
  <c r="G24" i="7" s="1"/>
  <c r="G35" i="7" s="1"/>
  <c r="G16" i="7"/>
  <c r="G23" i="7" s="1"/>
  <c r="G34" i="7" s="1"/>
  <c r="H17" i="7"/>
  <c r="H24" i="7" s="1"/>
  <c r="H35" i="7" s="1"/>
  <c r="F16" i="7"/>
  <c r="F23" i="7" s="1"/>
  <c r="F34" i="7" s="1"/>
  <c r="E16" i="7"/>
  <c r="E23" i="7" s="1"/>
  <c r="E34" i="7" s="1"/>
  <c r="E22" i="4" l="1"/>
  <c r="E8" i="5"/>
  <c r="E23" i="4" s="1"/>
  <c r="E24" i="4" s="1"/>
  <c r="F4" i="5"/>
  <c r="F7" i="5" s="1"/>
  <c r="F22" i="4" s="1"/>
  <c r="D11" i="5"/>
  <c r="D31" i="6" s="1"/>
  <c r="D9" i="5"/>
  <c r="F54" i="5"/>
  <c r="F57" i="5" s="1"/>
  <c r="F58" i="5" s="1"/>
  <c r="D59" i="5"/>
  <c r="D49" i="5"/>
  <c r="E49" i="5"/>
  <c r="F44" i="5"/>
  <c r="F47" i="5" s="1"/>
  <c r="F48" i="5" s="1"/>
  <c r="E51" i="5"/>
  <c r="E35" i="6" s="1"/>
  <c r="E39" i="5"/>
  <c r="F34" i="5"/>
  <c r="F37" i="5" s="1"/>
  <c r="F38" i="5" s="1"/>
  <c r="E41" i="5"/>
  <c r="E34" i="6" s="1"/>
  <c r="D39" i="5"/>
  <c r="F24" i="5"/>
  <c r="F27" i="5" s="1"/>
  <c r="F28" i="5" s="1"/>
  <c r="E31" i="5"/>
  <c r="E33" i="6" s="1"/>
  <c r="D29" i="5"/>
  <c r="D19" i="5"/>
  <c r="E21" i="5"/>
  <c r="E32" i="6" s="1"/>
  <c r="F14" i="5"/>
  <c r="F17" i="5" s="1"/>
  <c r="F18" i="5" s="1"/>
  <c r="E35" i="7"/>
  <c r="E36" i="7" s="1"/>
  <c r="E4" i="6" s="1"/>
  <c r="D35" i="7"/>
  <c r="D36" i="7" s="1"/>
  <c r="F35" i="7"/>
  <c r="F36" i="7" s="1"/>
  <c r="F4" i="6" s="1"/>
  <c r="G36" i="7"/>
  <c r="H36" i="7"/>
  <c r="D8" i="8"/>
  <c r="D9" i="8" s="1"/>
  <c r="D11" i="8" s="1"/>
  <c r="C35" i="7"/>
  <c r="C36" i="7" s="1"/>
  <c r="F4" i="8"/>
  <c r="E7" i="8"/>
  <c r="G26" i="7"/>
  <c r="H26" i="7"/>
  <c r="C26" i="7"/>
  <c r="F27" i="7"/>
  <c r="G27" i="7"/>
  <c r="C27" i="7"/>
  <c r="C39" i="7" s="1"/>
  <c r="D27" i="7"/>
  <c r="D39" i="7" s="1"/>
  <c r="E26" i="7"/>
  <c r="F26" i="7"/>
  <c r="E27" i="7"/>
  <c r="E39" i="7" s="1"/>
  <c r="H27" i="7"/>
  <c r="D26" i="7"/>
  <c r="F8" i="5" l="1"/>
  <c r="F23" i="4" s="1"/>
  <c r="F24" i="4" s="1"/>
  <c r="F61" i="5"/>
  <c r="F36" i="6" s="1"/>
  <c r="E9" i="5"/>
  <c r="E19" i="5"/>
  <c r="G4" i="5"/>
  <c r="G7" i="5" s="1"/>
  <c r="G22" i="4" s="1"/>
  <c r="E11" i="5"/>
  <c r="E31" i="6" s="1"/>
  <c r="F59" i="5"/>
  <c r="G54" i="5"/>
  <c r="G57" i="5" s="1"/>
  <c r="G58" i="5" s="1"/>
  <c r="E59" i="5"/>
  <c r="F49" i="5"/>
  <c r="G44" i="5"/>
  <c r="G47" i="5" s="1"/>
  <c r="G48" i="5" s="1"/>
  <c r="F51" i="5"/>
  <c r="F35" i="6" s="1"/>
  <c r="F39" i="5"/>
  <c r="G34" i="5"/>
  <c r="G37" i="5" s="1"/>
  <c r="G38" i="5" s="1"/>
  <c r="F41" i="5"/>
  <c r="F34" i="6" s="1"/>
  <c r="E29" i="5"/>
  <c r="G24" i="5"/>
  <c r="G27" i="5" s="1"/>
  <c r="G28" i="5" s="1"/>
  <c r="F31" i="5"/>
  <c r="F33" i="6" s="1"/>
  <c r="G14" i="5"/>
  <c r="G17" i="5" s="1"/>
  <c r="G18" i="5" s="1"/>
  <c r="F21" i="5"/>
  <c r="F32" i="6" s="1"/>
  <c r="D30" i="7"/>
  <c r="C30" i="7"/>
  <c r="H30" i="7"/>
  <c r="H39" i="7"/>
  <c r="F30" i="7"/>
  <c r="F39" i="7"/>
  <c r="F29" i="7"/>
  <c r="F38" i="7"/>
  <c r="F40" i="7" s="1"/>
  <c r="C29" i="7"/>
  <c r="C38" i="7"/>
  <c r="C40" i="7" s="1"/>
  <c r="C5" i="6" s="1"/>
  <c r="C10" i="6" s="1"/>
  <c r="H4" i="6"/>
  <c r="E29" i="7"/>
  <c r="E38" i="7"/>
  <c r="E40" i="7" s="1"/>
  <c r="H29" i="7"/>
  <c r="H38" i="7"/>
  <c r="G29" i="7"/>
  <c r="G38" i="7"/>
  <c r="G4" i="6"/>
  <c r="E8" i="8"/>
  <c r="E9" i="8" s="1"/>
  <c r="E11" i="8" s="1"/>
  <c r="D4" i="6"/>
  <c r="G30" i="7"/>
  <c r="G39" i="7"/>
  <c r="D29" i="7"/>
  <c r="D38" i="7"/>
  <c r="D40" i="7" s="1"/>
  <c r="D5" i="6" s="1"/>
  <c r="D10" i="6" s="1"/>
  <c r="G4" i="8"/>
  <c r="F7" i="8"/>
  <c r="C4" i="6"/>
  <c r="E30" i="7"/>
  <c r="G61" i="5" l="1"/>
  <c r="G36" i="6" s="1"/>
  <c r="F9" i="5"/>
  <c r="G8" i="5"/>
  <c r="G23" i="4" s="1"/>
  <c r="G24" i="4" s="1"/>
  <c r="F11" i="5"/>
  <c r="F31" i="6" s="1"/>
  <c r="H4" i="5"/>
  <c r="H7" i="5" s="1"/>
  <c r="H22" i="4" s="1"/>
  <c r="H54" i="5"/>
  <c r="H57" i="5" s="1"/>
  <c r="H58" i="5" s="1"/>
  <c r="H61" i="5" s="1"/>
  <c r="H36" i="6" s="1"/>
  <c r="G59" i="5"/>
  <c r="H44" i="5"/>
  <c r="H47" i="5" s="1"/>
  <c r="H48" i="5" s="1"/>
  <c r="G51" i="5"/>
  <c r="G35" i="6" s="1"/>
  <c r="G49" i="5"/>
  <c r="H34" i="5"/>
  <c r="H37" i="5" s="1"/>
  <c r="H38" i="5" s="1"/>
  <c r="G41" i="5"/>
  <c r="G34" i="6" s="1"/>
  <c r="G39" i="5"/>
  <c r="H24" i="5"/>
  <c r="H27" i="5" s="1"/>
  <c r="H28" i="5" s="1"/>
  <c r="G31" i="5"/>
  <c r="G33" i="6" s="1"/>
  <c r="G29" i="5"/>
  <c r="F29" i="5"/>
  <c r="H14" i="5"/>
  <c r="H17" i="5" s="1"/>
  <c r="H18" i="5" s="1"/>
  <c r="G21" i="5"/>
  <c r="G32" i="6" s="1"/>
  <c r="F19" i="5"/>
  <c r="H40" i="7"/>
  <c r="H5" i="6" s="1"/>
  <c r="H10" i="6" s="1"/>
  <c r="G40" i="7"/>
  <c r="G5" i="6" s="1"/>
  <c r="G10" i="6" s="1"/>
  <c r="D42" i="7"/>
  <c r="D6" i="6"/>
  <c r="F5" i="6"/>
  <c r="F42" i="7"/>
  <c r="C42" i="7"/>
  <c r="F8" i="8"/>
  <c r="F9" i="8" s="1"/>
  <c r="F11" i="8" s="1"/>
  <c r="E5" i="6"/>
  <c r="E42" i="7"/>
  <c r="C6" i="6"/>
  <c r="H4" i="8"/>
  <c r="H7" i="8" s="1"/>
  <c r="G7" i="8"/>
  <c r="G11" i="5" l="1"/>
  <c r="G31" i="6" s="1"/>
  <c r="H8" i="5"/>
  <c r="H23" i="4" s="1"/>
  <c r="H24" i="4" s="1"/>
  <c r="H9" i="5"/>
  <c r="G9" i="5"/>
  <c r="H51" i="5"/>
  <c r="H35" i="6" s="1"/>
  <c r="H41" i="5"/>
  <c r="H34" i="6" s="1"/>
  <c r="H39" i="5"/>
  <c r="H31" i="5"/>
  <c r="H33" i="6" s="1"/>
  <c r="H29" i="5"/>
  <c r="G19" i="5"/>
  <c r="H21" i="5"/>
  <c r="H32" i="6" s="1"/>
  <c r="H19" i="5"/>
  <c r="H42" i="7"/>
  <c r="H6" i="6"/>
  <c r="H16" i="6" s="1"/>
  <c r="G42" i="7"/>
  <c r="G43" i="7" s="1"/>
  <c r="G6" i="6"/>
  <c r="G16" i="6" s="1"/>
  <c r="E43" i="7"/>
  <c r="C16" i="6"/>
  <c r="C9" i="6"/>
  <c r="C11" i="6" s="1"/>
  <c r="C12" i="6" s="1"/>
  <c r="C17" i="6"/>
  <c r="D16" i="6"/>
  <c r="D17" i="6"/>
  <c r="E6" i="6"/>
  <c r="E10" i="6"/>
  <c r="F6" i="6"/>
  <c r="F10" i="6"/>
  <c r="D9" i="6"/>
  <c r="F43" i="7"/>
  <c r="G8" i="8"/>
  <c r="G9" i="8" s="1"/>
  <c r="G11" i="8" s="1"/>
  <c r="H8" i="8"/>
  <c r="H9" i="8" s="1"/>
  <c r="H11" i="8" s="1"/>
  <c r="D11" i="6" l="1"/>
  <c r="D12" i="6" s="1"/>
  <c r="D27" i="4"/>
  <c r="D8" i="3" s="1"/>
  <c r="H11" i="5"/>
  <c r="H31" i="6" s="1"/>
  <c r="H59" i="5"/>
  <c r="H49" i="5"/>
  <c r="H43" i="7"/>
  <c r="D26" i="6"/>
  <c r="D13" i="6"/>
  <c r="C26" i="6"/>
  <c r="H17" i="6"/>
  <c r="H26" i="6" s="1"/>
  <c r="H15" i="4" s="1"/>
  <c r="H9" i="6"/>
  <c r="G9" i="6"/>
  <c r="G17" i="6"/>
  <c r="G26" i="6" s="1"/>
  <c r="G15" i="4" s="1"/>
  <c r="F16" i="6"/>
  <c r="F17" i="6"/>
  <c r="E16" i="6"/>
  <c r="E17" i="6"/>
  <c r="F9" i="6"/>
  <c r="E9" i="6"/>
  <c r="C13" i="8"/>
  <c r="B5" i="10" s="1"/>
  <c r="G16" i="4" l="1"/>
  <c r="G11" i="6"/>
  <c r="G12" i="6" s="1"/>
  <c r="G28" i="6" s="1"/>
  <c r="G37" i="6" s="1"/>
  <c r="G4" i="2" s="1"/>
  <c r="G5" i="2" s="1"/>
  <c r="G6" i="2" s="1"/>
  <c r="G27" i="4"/>
  <c r="E11" i="6"/>
  <c r="E12" i="6" s="1"/>
  <c r="E13" i="6" s="1"/>
  <c r="E27" i="4"/>
  <c r="E8" i="3" s="1"/>
  <c r="D28" i="6"/>
  <c r="D37" i="6" s="1"/>
  <c r="D4" i="2" s="1"/>
  <c r="D15" i="4"/>
  <c r="H11" i="6"/>
  <c r="H12" i="6" s="1"/>
  <c r="H13" i="6" s="1"/>
  <c r="H27" i="4"/>
  <c r="H16" i="4"/>
  <c r="H9" i="3"/>
  <c r="F11" i="6"/>
  <c r="F12" i="6" s="1"/>
  <c r="F27" i="4"/>
  <c r="F8" i="3" s="1"/>
  <c r="G13" i="6"/>
  <c r="F13" i="6"/>
  <c r="E26" i="6"/>
  <c r="F26" i="6"/>
  <c r="D39" i="6" l="1"/>
  <c r="H28" i="6"/>
  <c r="H37" i="6" s="1"/>
  <c r="H4" i="2" s="1"/>
  <c r="H5" i="2" s="1"/>
  <c r="H6" i="2" s="1"/>
  <c r="H10" i="2" s="1"/>
  <c r="H8" i="3"/>
  <c r="H8" i="2" s="1"/>
  <c r="D5" i="2"/>
  <c r="D6" i="2" s="1"/>
  <c r="F28" i="6"/>
  <c r="F37" i="6" s="1"/>
  <c r="F4" i="2" s="1"/>
  <c r="F15" i="4"/>
  <c r="E28" i="6"/>
  <c r="E37" i="6" s="1"/>
  <c r="E4" i="2" s="1"/>
  <c r="E15" i="4"/>
  <c r="D16" i="4"/>
  <c r="D9" i="3"/>
  <c r="D8" i="2" s="1"/>
  <c r="G8" i="3"/>
  <c r="D29" i="6"/>
  <c r="F29" i="6"/>
  <c r="F39" i="6"/>
  <c r="F40" i="6" s="1"/>
  <c r="D40" i="6"/>
  <c r="D41" i="6" s="1"/>
  <c r="D4" i="3" s="1"/>
  <c r="D7" i="3" s="1"/>
  <c r="D10" i="3" s="1"/>
  <c r="D26" i="3" s="1"/>
  <c r="D28" i="3" s="1"/>
  <c r="G29" i="6"/>
  <c r="G39" i="6"/>
  <c r="H29" i="6"/>
  <c r="H39" i="6"/>
  <c r="E29" i="6" l="1"/>
  <c r="E39" i="6"/>
  <c r="E40" i="6" s="1"/>
  <c r="E5" i="2"/>
  <c r="E6" i="2"/>
  <c r="D28" i="4"/>
  <c r="D29" i="4" s="1"/>
  <c r="E27" i="3"/>
  <c r="D10" i="2"/>
  <c r="D12" i="2" s="1"/>
  <c r="E9" i="3"/>
  <c r="E8" i="2" s="1"/>
  <c r="E10" i="2" s="1"/>
  <c r="E12" i="2" s="1"/>
  <c r="E16" i="4"/>
  <c r="F9" i="3"/>
  <c r="F8" i="2" s="1"/>
  <c r="F16" i="4"/>
  <c r="G9" i="3"/>
  <c r="G8" i="2" s="1"/>
  <c r="G10" i="2" s="1"/>
  <c r="G12" i="2" s="1"/>
  <c r="H11" i="2"/>
  <c r="H12" i="2" s="1"/>
  <c r="F5" i="2"/>
  <c r="F6" i="2" s="1"/>
  <c r="G40" i="6"/>
  <c r="G41" i="6" s="1"/>
  <c r="D42" i="6"/>
  <c r="D6" i="4"/>
  <c r="D7" i="4" s="1"/>
  <c r="D17" i="4" s="1"/>
  <c r="H40" i="6"/>
  <c r="H41" i="6" s="1"/>
  <c r="F41" i="6"/>
  <c r="F4" i="3" s="1"/>
  <c r="F7" i="3" s="1"/>
  <c r="D30" i="4" l="1"/>
  <c r="F10" i="3"/>
  <c r="F26" i="3" s="1"/>
  <c r="E41" i="6"/>
  <c r="E4" i="3" s="1"/>
  <c r="E7" i="3" s="1"/>
  <c r="E10" i="3" s="1"/>
  <c r="E26" i="3" s="1"/>
  <c r="E28" i="3" s="1"/>
  <c r="H42" i="6"/>
  <c r="H4" i="3"/>
  <c r="H7" i="3" s="1"/>
  <c r="H10" i="3" s="1"/>
  <c r="H26" i="3" s="1"/>
  <c r="G42" i="6"/>
  <c r="G4" i="3"/>
  <c r="G7" i="3" s="1"/>
  <c r="G10" i="3" s="1"/>
  <c r="G26" i="3" s="1"/>
  <c r="F10" i="2"/>
  <c r="F12" i="2" s="1"/>
  <c r="C14" i="2" s="1"/>
  <c r="B4" i="10" s="1"/>
  <c r="B6" i="10" s="1"/>
  <c r="F42" i="6"/>
  <c r="E6" i="4" l="1"/>
  <c r="E7" i="4" s="1"/>
  <c r="E17" i="4" s="1"/>
  <c r="E42" i="6"/>
  <c r="F27" i="3"/>
  <c r="F28" i="3" s="1"/>
  <c r="E28" i="4"/>
  <c r="E29" i="4" s="1"/>
  <c r="F6" i="4"/>
  <c r="E30" i="4" l="1"/>
  <c r="G27" i="3"/>
  <c r="G28" i="3" s="1"/>
  <c r="F28" i="4"/>
  <c r="F29" i="4" s="1"/>
  <c r="G6" i="4"/>
  <c r="F7" i="4"/>
  <c r="F17" i="4" s="1"/>
  <c r="F30" i="4" s="1"/>
  <c r="H27" i="3" l="1"/>
  <c r="H28" i="3" s="1"/>
  <c r="H28" i="4" s="1"/>
  <c r="H29" i="4" s="1"/>
  <c r="G28" i="4"/>
  <c r="G29" i="4" s="1"/>
  <c r="H6" i="4"/>
  <c r="H7" i="4" s="1"/>
  <c r="H17" i="4" s="1"/>
  <c r="G7" i="4"/>
  <c r="G17" i="4" s="1"/>
  <c r="H30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4" authorId="0" shapeId="0" xr:uid="{F53E2A90-5A77-446A-AA94-B7D6D755E6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operative pro before tax</t>
        </r>
      </text>
    </comment>
    <comment ref="A6" authorId="0" shapeId="0" xr:uid="{CB158600-0769-4073-912C-85723B4460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operative pro after tax</t>
        </r>
      </text>
    </comment>
  </commentList>
</comments>
</file>

<file path=xl/sharedStrings.xml><?xml version="1.0" encoding="utf-8"?>
<sst xmlns="http://schemas.openxmlformats.org/spreadsheetml/2006/main" count="293" uniqueCount="175">
  <si>
    <t>Option 1</t>
  </si>
  <si>
    <t>Lease Property</t>
  </si>
  <si>
    <t>Start Date</t>
  </si>
  <si>
    <t>No. days in the year</t>
  </si>
  <si>
    <t>land size</t>
  </si>
  <si>
    <t>building</t>
  </si>
  <si>
    <t>rental yield</t>
  </si>
  <si>
    <t>Rent Deposit</t>
  </si>
  <si>
    <t>FD Rate</t>
  </si>
  <si>
    <t>Option 2</t>
  </si>
  <si>
    <t xml:space="preserve">Development cost </t>
  </si>
  <si>
    <t>Interior Cost</t>
  </si>
  <si>
    <t>Civil work</t>
  </si>
  <si>
    <t>Machinery</t>
  </si>
  <si>
    <t>Total</t>
  </si>
  <si>
    <t>Property value</t>
  </si>
  <si>
    <t>Increase in rental yield</t>
  </si>
  <si>
    <t>Income tax</t>
  </si>
  <si>
    <t>Franchise cost</t>
  </si>
  <si>
    <t>Particulars</t>
  </si>
  <si>
    <t>Year</t>
  </si>
  <si>
    <t>Rental Income</t>
  </si>
  <si>
    <t>Interest Income</t>
  </si>
  <si>
    <t>Non refundable deposit</t>
  </si>
  <si>
    <t>Less Income Tax</t>
  </si>
  <si>
    <t>Total Income before Tax</t>
  </si>
  <si>
    <t>Total Income after Tax</t>
  </si>
  <si>
    <t>Terminal Value</t>
  </si>
  <si>
    <t>FCFE - Free Cashflow Equity</t>
  </si>
  <si>
    <t>Rate of Return</t>
  </si>
  <si>
    <t>13%+5%=18%</t>
  </si>
  <si>
    <t>and 1.2 % is compounding</t>
  </si>
  <si>
    <t>Depreciation</t>
  </si>
  <si>
    <t>Total no of operation days</t>
  </si>
  <si>
    <t>Weekdays</t>
  </si>
  <si>
    <t>Weekends</t>
  </si>
  <si>
    <t>Occupancy</t>
  </si>
  <si>
    <t>Total Capacity</t>
  </si>
  <si>
    <t>Total no of Rounds</t>
  </si>
  <si>
    <t>Total no of customers per day</t>
  </si>
  <si>
    <t>APC/Price</t>
  </si>
  <si>
    <t>Per day Revenue</t>
  </si>
  <si>
    <t>Outlet</t>
  </si>
  <si>
    <t>Online</t>
  </si>
  <si>
    <t>Total Revenue per day</t>
  </si>
  <si>
    <t>Annual Revenue</t>
  </si>
  <si>
    <t>See the conditions</t>
  </si>
  <si>
    <t>Weekdays Occupancy</t>
  </si>
  <si>
    <t>Weekdays Max occupancy</t>
  </si>
  <si>
    <t>Weekends Occupancy</t>
  </si>
  <si>
    <t>Weekends Max occupancy</t>
  </si>
  <si>
    <t>Annual Growth</t>
  </si>
  <si>
    <t>People</t>
  </si>
  <si>
    <t>No of rounds</t>
  </si>
  <si>
    <t>Rounds</t>
  </si>
  <si>
    <t>APC</t>
  </si>
  <si>
    <t>RS</t>
  </si>
  <si>
    <t>APC Annual Growth</t>
  </si>
  <si>
    <t>Online Sales</t>
  </si>
  <si>
    <t>% of online Sales</t>
  </si>
  <si>
    <t>Outlets</t>
  </si>
  <si>
    <t>Via Online</t>
  </si>
  <si>
    <t>Total Outlet Sales</t>
  </si>
  <si>
    <t>Total Online Sales</t>
  </si>
  <si>
    <t>Total Sales</t>
  </si>
  <si>
    <t>Sales growth rate %</t>
  </si>
  <si>
    <t>Sales</t>
  </si>
  <si>
    <t>Less Direct Cost</t>
  </si>
  <si>
    <t>COGS</t>
  </si>
  <si>
    <t>Indirect Cost</t>
  </si>
  <si>
    <t>Royalty</t>
  </si>
  <si>
    <t>Total Direct Cost</t>
  </si>
  <si>
    <t>Cost as % of revenue</t>
  </si>
  <si>
    <t>for Online Sales only</t>
  </si>
  <si>
    <t>Commission to food aggregator</t>
  </si>
  <si>
    <t>Gross profit</t>
  </si>
  <si>
    <t>Gross Margin %</t>
  </si>
  <si>
    <t>Total Indirect Cost</t>
  </si>
  <si>
    <t>Eb &amp; water</t>
  </si>
  <si>
    <t>Salary</t>
  </si>
  <si>
    <t>Cleaner</t>
  </si>
  <si>
    <t>Support Staff</t>
  </si>
  <si>
    <t>Accountant</t>
  </si>
  <si>
    <t>Manager</t>
  </si>
  <si>
    <t>Misc Exp</t>
  </si>
  <si>
    <t>Number of shift</t>
  </si>
  <si>
    <t>shifts</t>
  </si>
  <si>
    <t>No of emp per shift</t>
  </si>
  <si>
    <t>less Interest</t>
  </si>
  <si>
    <t>Profit before Tax</t>
  </si>
  <si>
    <t>Profit After Tax</t>
  </si>
  <si>
    <t>Franchise</t>
  </si>
  <si>
    <t>Opening Balance</t>
  </si>
  <si>
    <t>Add Purchases</t>
  </si>
  <si>
    <t>Less :Sales of franchise</t>
  </si>
  <si>
    <t>Gross Blocks</t>
  </si>
  <si>
    <t>Net block</t>
  </si>
  <si>
    <t>Depreciation on Franchise</t>
  </si>
  <si>
    <t>Depreciation on Development</t>
  </si>
  <si>
    <t>Depreciation on Interior</t>
  </si>
  <si>
    <t>Depreciation on Civil work</t>
  </si>
  <si>
    <t>Depreciation on Machinery</t>
  </si>
  <si>
    <t>Less :Sales</t>
  </si>
  <si>
    <t>Equity &amp; Liability</t>
  </si>
  <si>
    <t>Equity</t>
  </si>
  <si>
    <t>Liabilities</t>
  </si>
  <si>
    <t>Equity share capital</t>
  </si>
  <si>
    <t>Reserves and surplus</t>
  </si>
  <si>
    <t>Total Equity</t>
  </si>
  <si>
    <t>Non current liabilities</t>
  </si>
  <si>
    <t>Debt</t>
  </si>
  <si>
    <t>Current Liabilities</t>
  </si>
  <si>
    <t>Outstanding Expe</t>
  </si>
  <si>
    <t>Total Liabilities</t>
  </si>
  <si>
    <t>Assets</t>
  </si>
  <si>
    <t>Non current Assets</t>
  </si>
  <si>
    <t>Fixed Assets</t>
  </si>
  <si>
    <t>Net blocks</t>
  </si>
  <si>
    <t>Current Assets</t>
  </si>
  <si>
    <t>Stock</t>
  </si>
  <si>
    <t>Cash and Bank</t>
  </si>
  <si>
    <t>CHK</t>
  </si>
  <si>
    <t>Indirect Exp</t>
  </si>
  <si>
    <t>Days</t>
  </si>
  <si>
    <t>Stock Days</t>
  </si>
  <si>
    <t>Cost of Equity</t>
  </si>
  <si>
    <t>Long term growth rate</t>
  </si>
  <si>
    <t>Minimum Cash</t>
  </si>
  <si>
    <t>Rs</t>
  </si>
  <si>
    <t>Operating Activity</t>
  </si>
  <si>
    <t>Financing Activity</t>
  </si>
  <si>
    <t>Investing Activity</t>
  </si>
  <si>
    <t>Total cash generated during the year</t>
  </si>
  <si>
    <t>Add Opening balance of cash</t>
  </si>
  <si>
    <t>Closing balance</t>
  </si>
  <si>
    <t>Add non cash items</t>
  </si>
  <si>
    <t>Cashflow from operation before working capital changes</t>
  </si>
  <si>
    <t>Total cashflow from operations</t>
  </si>
  <si>
    <t>Profit after tax - PAT</t>
  </si>
  <si>
    <t>Less Increase in current asset and decrease in current liabilities</t>
  </si>
  <si>
    <t>Add decrease in current asset and Increase in Current liabilities</t>
  </si>
  <si>
    <t>Purchase of Assets</t>
  </si>
  <si>
    <t xml:space="preserve">Development </t>
  </si>
  <si>
    <t>Interior</t>
  </si>
  <si>
    <t>Total Cash flow from investing</t>
  </si>
  <si>
    <t>EBIT</t>
  </si>
  <si>
    <t>Ebita</t>
  </si>
  <si>
    <t>Less Taxes</t>
  </si>
  <si>
    <t>Net operating profit after tax</t>
  </si>
  <si>
    <t>Add Depreciation</t>
  </si>
  <si>
    <t>Add/less: changes in working capital</t>
  </si>
  <si>
    <t>FCFE/FCFF</t>
  </si>
  <si>
    <t>Opportunity Cost (Purchase of Land)</t>
  </si>
  <si>
    <t xml:space="preserve">TV= Garden growth model </t>
  </si>
  <si>
    <t>Divided by</t>
  </si>
  <si>
    <t>ke-g</t>
  </si>
  <si>
    <t>Ke cost of equity</t>
  </si>
  <si>
    <t>g - long term sustainable growth rate</t>
  </si>
  <si>
    <t>McDonal's IRR</t>
  </si>
  <si>
    <t xml:space="preserve">Decision </t>
  </si>
  <si>
    <t>XIRR</t>
  </si>
  <si>
    <t>Mc Donald's Franchise</t>
  </si>
  <si>
    <t>Furniture's</t>
  </si>
  <si>
    <t>Maintenance</t>
  </si>
  <si>
    <t>Advertisement cost</t>
  </si>
  <si>
    <t>Accrue</t>
  </si>
  <si>
    <t>3000 sq. ft</t>
  </si>
  <si>
    <t>2400 sq. ft</t>
  </si>
  <si>
    <t>capital appreciation of property</t>
  </si>
  <si>
    <t>Values = Free cash flow end of 6 the year</t>
  </si>
  <si>
    <t>Rental IRR</t>
  </si>
  <si>
    <t>Less: Capex</t>
  </si>
  <si>
    <t>Less Accumulated Depreciation</t>
  </si>
  <si>
    <t>Depreciation on Furniture's</t>
  </si>
  <si>
    <t>Ebita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</si>
</sst>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Year&quot;\ 0\ "/>
    <numFmt numFmtId="166" formatCode="_(* #,##0_);_(* \(#,##0\);_(* &quot;-&quot;??_);_(@_)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3" fillId="3" borderId="0" xfId="0" applyFont="1" applyFill="1"/>
    <xf numFmtId="165" fontId="2" fillId="3" borderId="0" xfId="0" applyNumberFormat="1" applyFont="1" applyFill="1"/>
    <xf numFmtId="165" fontId="3" fillId="3" borderId="0" xfId="0" applyNumberFormat="1" applyFont="1" applyFill="1"/>
    <xf numFmtId="15" fontId="2" fillId="3" borderId="0" xfId="0" applyNumberFormat="1" applyFont="1" applyFill="1"/>
    <xf numFmtId="15" fontId="3" fillId="3" borderId="0" xfId="0" applyNumberFormat="1" applyFont="1" applyFill="1"/>
    <xf numFmtId="166" fontId="0" fillId="0" borderId="0" xfId="1" applyNumberFormat="1" applyFont="1"/>
    <xf numFmtId="0" fontId="2" fillId="0" borderId="1" xfId="0" applyFont="1" applyBorder="1"/>
    <xf numFmtId="166" fontId="2" fillId="0" borderId="1" xfId="1" applyNumberFormat="1" applyFont="1" applyBorder="1"/>
    <xf numFmtId="0" fontId="0" fillId="0" borderId="1" xfId="0" applyBorder="1"/>
    <xf numFmtId="166" fontId="0" fillId="0" borderId="1" xfId="1" applyNumberFormat="1" applyFont="1" applyBorder="1"/>
    <xf numFmtId="15" fontId="2" fillId="0" borderId="0" xfId="0" applyNumberFormat="1" applyFont="1"/>
    <xf numFmtId="166" fontId="2" fillId="0" borderId="0" xfId="1" applyNumberFormat="1" applyFont="1"/>
    <xf numFmtId="10" fontId="0" fillId="0" borderId="1" xfId="1" applyNumberFormat="1" applyFont="1" applyBorder="1"/>
    <xf numFmtId="0" fontId="2" fillId="0" borderId="0" xfId="0" applyFont="1" applyAlignment="1">
      <alignment wrapText="1"/>
    </xf>
    <xf numFmtId="0" fontId="2" fillId="4" borderId="0" xfId="0" applyFont="1" applyFill="1"/>
    <xf numFmtId="0" fontId="0" fillId="4" borderId="0" xfId="0" applyFill="1"/>
    <xf numFmtId="167" fontId="0" fillId="4" borderId="0" xfId="2" applyNumberFormat="1" applyFont="1" applyFill="1"/>
    <xf numFmtId="166" fontId="0" fillId="5" borderId="0" xfId="1" applyNumberFormat="1" applyFont="1" applyFill="1"/>
    <xf numFmtId="9" fontId="0" fillId="0" borderId="0" xfId="2" applyFont="1"/>
    <xf numFmtId="9" fontId="0" fillId="0" borderId="0" xfId="0" applyNumberFormat="1"/>
    <xf numFmtId="0" fontId="0" fillId="6" borderId="0" xfId="0" applyFill="1"/>
    <xf numFmtId="0" fontId="2" fillId="0" borderId="2" xfId="0" applyFont="1" applyBorder="1"/>
    <xf numFmtId="166" fontId="2" fillId="0" borderId="2" xfId="1" applyNumberFormat="1" applyFont="1" applyBorder="1"/>
    <xf numFmtId="0" fontId="2" fillId="0" borderId="3" xfId="0" applyFont="1" applyBorder="1"/>
    <xf numFmtId="166" fontId="2" fillId="0" borderId="3" xfId="1" applyNumberFormat="1" applyFont="1" applyBorder="1"/>
    <xf numFmtId="0" fontId="4" fillId="0" borderId="0" xfId="0" applyFont="1"/>
    <xf numFmtId="166" fontId="4" fillId="0" borderId="0" xfId="1" applyNumberFormat="1" applyFont="1"/>
    <xf numFmtId="9" fontId="4" fillId="0" borderId="0" xfId="2" applyFont="1"/>
    <xf numFmtId="0" fontId="0" fillId="0" borderId="3" xfId="0" applyBorder="1"/>
    <xf numFmtId="166" fontId="0" fillId="0" borderId="3" xfId="1" applyNumberFormat="1" applyFont="1" applyBorder="1"/>
    <xf numFmtId="167" fontId="4" fillId="0" borderId="0" xfId="2" applyNumberFormat="1" applyFont="1"/>
    <xf numFmtId="0" fontId="6" fillId="0" borderId="0" xfId="0" applyFont="1" applyAlignment="1">
      <alignment horizontal="left" indent="1"/>
    </xf>
    <xf numFmtId="0" fontId="0" fillId="0" borderId="0" xfId="2" applyNumberFormat="1" applyFont="1"/>
    <xf numFmtId="167" fontId="0" fillId="0" borderId="0" xfId="2" applyNumberFormat="1" applyFont="1"/>
    <xf numFmtId="0" fontId="5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167" fontId="0" fillId="0" borderId="3" xfId="2" applyNumberFormat="1" applyFont="1" applyBorder="1"/>
    <xf numFmtId="0" fontId="6" fillId="0" borderId="1" xfId="0" applyFont="1" applyBorder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166" fontId="10" fillId="0" borderId="0" xfId="1" applyNumberFormat="1" applyFont="1"/>
    <xf numFmtId="0" fontId="10" fillId="0" borderId="0" xfId="0" applyFont="1"/>
    <xf numFmtId="10" fontId="0" fillId="0" borderId="0" xfId="2" applyNumberFormat="1" applyFont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166" fontId="0" fillId="7" borderId="0" xfId="1" applyNumberFormat="1" applyFont="1" applyFill="1"/>
    <xf numFmtId="166" fontId="0" fillId="0" borderId="0" xfId="1" applyNumberFormat="1" applyFont="1" applyBorder="1"/>
    <xf numFmtId="0" fontId="2" fillId="8" borderId="0" xfId="0" applyFont="1" applyFill="1"/>
    <xf numFmtId="167" fontId="2" fillId="8" borderId="0" xfId="2" applyNumberFormat="1" applyFont="1" applyFill="1"/>
    <xf numFmtId="167" fontId="0" fillId="0" borderId="0" xfId="2" applyNumberFormat="1" applyFont="1" applyFill="1"/>
    <xf numFmtId="166" fontId="0" fillId="0" borderId="0" xfId="1" applyNumberFormat="1" applyFont="1" applyFill="1"/>
    <xf numFmtId="166" fontId="2" fillId="0" borderId="0" xfId="1" applyNumberFormat="1" applyFont="1" applyFill="1"/>
    <xf numFmtId="165" fontId="3" fillId="0" borderId="0" xfId="0" applyNumberFormat="1" applyFont="1"/>
    <xf numFmtId="15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BA03-6725-4F13-97A9-D66B5D3869F2}">
  <sheetPr codeName="Sheet1"/>
  <dimension ref="A1:H86"/>
  <sheetViews>
    <sheetView tabSelected="1" workbookViewId="0"/>
  </sheetViews>
  <sheetFormatPr defaultRowHeight="14.5" x14ac:dyDescent="0.35"/>
  <cols>
    <col min="1" max="1" width="41.08984375" customWidth="1"/>
    <col min="2" max="2" width="20.453125" customWidth="1"/>
  </cols>
  <sheetData>
    <row r="1" spans="1:2" x14ac:dyDescent="0.35">
      <c r="A1" s="4" t="s">
        <v>0</v>
      </c>
      <c r="B1" s="5" t="s">
        <v>1</v>
      </c>
    </row>
    <row r="2" spans="1:2" x14ac:dyDescent="0.35">
      <c r="A2" t="s">
        <v>2</v>
      </c>
      <c r="B2" s="17">
        <v>45383</v>
      </c>
    </row>
    <row r="3" spans="1:2" x14ac:dyDescent="0.35">
      <c r="A3" t="s">
        <v>3</v>
      </c>
      <c r="B3" s="2">
        <v>365</v>
      </c>
    </row>
    <row r="4" spans="1:2" x14ac:dyDescent="0.35">
      <c r="A4" t="s">
        <v>15</v>
      </c>
      <c r="B4" s="2">
        <v>45000000</v>
      </c>
    </row>
    <row r="5" spans="1:2" x14ac:dyDescent="0.35">
      <c r="A5" t="s">
        <v>4</v>
      </c>
      <c r="B5" s="2" t="s">
        <v>166</v>
      </c>
    </row>
    <row r="6" spans="1:2" x14ac:dyDescent="0.35">
      <c r="A6" t="s">
        <v>5</v>
      </c>
      <c r="B6" s="2" t="s">
        <v>167</v>
      </c>
    </row>
    <row r="7" spans="1:2" x14ac:dyDescent="0.35">
      <c r="A7" t="s">
        <v>6</v>
      </c>
      <c r="B7" s="3">
        <v>0.05</v>
      </c>
    </row>
    <row r="8" spans="1:2" x14ac:dyDescent="0.35">
      <c r="A8" t="s">
        <v>16</v>
      </c>
      <c r="B8" s="3">
        <v>0.08</v>
      </c>
    </row>
    <row r="9" spans="1:2" x14ac:dyDescent="0.35">
      <c r="A9" t="s">
        <v>168</v>
      </c>
      <c r="B9" s="3">
        <v>0.13</v>
      </c>
    </row>
    <row r="10" spans="1:2" x14ac:dyDescent="0.35">
      <c r="A10" t="s">
        <v>7</v>
      </c>
      <c r="B10" s="2">
        <v>5000000</v>
      </c>
    </row>
    <row r="11" spans="1:2" x14ac:dyDescent="0.35">
      <c r="A11" t="s">
        <v>8</v>
      </c>
      <c r="B11" s="3">
        <v>0.06</v>
      </c>
    </row>
    <row r="12" spans="1:2" x14ac:dyDescent="0.35">
      <c r="A12" t="s">
        <v>17</v>
      </c>
      <c r="B12" s="3">
        <v>0.25170000000000003</v>
      </c>
    </row>
    <row r="14" spans="1:2" x14ac:dyDescent="0.35">
      <c r="A14" s="4" t="s">
        <v>9</v>
      </c>
      <c r="B14" s="4" t="s">
        <v>161</v>
      </c>
    </row>
    <row r="15" spans="1:2" x14ac:dyDescent="0.35">
      <c r="A15" t="s">
        <v>2</v>
      </c>
      <c r="B15" s="17">
        <v>45383</v>
      </c>
    </row>
    <row r="16" spans="1:2" x14ac:dyDescent="0.35">
      <c r="A16" t="s">
        <v>3</v>
      </c>
      <c r="B16">
        <v>365</v>
      </c>
    </row>
    <row r="18" spans="1:3" x14ac:dyDescent="0.35">
      <c r="A18" t="s">
        <v>18</v>
      </c>
      <c r="B18">
        <v>3000000</v>
      </c>
      <c r="C18" t="s">
        <v>56</v>
      </c>
    </row>
    <row r="19" spans="1:3" x14ac:dyDescent="0.35">
      <c r="A19" t="s">
        <v>162</v>
      </c>
      <c r="B19">
        <v>1100000</v>
      </c>
      <c r="C19" t="s">
        <v>56</v>
      </c>
    </row>
    <row r="20" spans="1:3" x14ac:dyDescent="0.35">
      <c r="A20" t="s">
        <v>10</v>
      </c>
      <c r="B20">
        <v>5000000</v>
      </c>
      <c r="C20" t="s">
        <v>56</v>
      </c>
    </row>
    <row r="21" spans="1:3" x14ac:dyDescent="0.35">
      <c r="A21" t="s">
        <v>11</v>
      </c>
      <c r="B21">
        <v>2000000</v>
      </c>
      <c r="C21" t="s">
        <v>56</v>
      </c>
    </row>
    <row r="22" spans="1:3" x14ac:dyDescent="0.35">
      <c r="A22" t="s">
        <v>12</v>
      </c>
      <c r="B22">
        <v>1000000</v>
      </c>
      <c r="C22" t="s">
        <v>56</v>
      </c>
    </row>
    <row r="23" spans="1:3" x14ac:dyDescent="0.35">
      <c r="A23" t="s">
        <v>13</v>
      </c>
      <c r="B23">
        <v>3500000</v>
      </c>
      <c r="C23" t="s">
        <v>56</v>
      </c>
    </row>
    <row r="24" spans="1:3" x14ac:dyDescent="0.35">
      <c r="A24" s="1" t="s">
        <v>14</v>
      </c>
      <c r="B24" s="1">
        <f>SUM(B18:B23)</f>
        <v>15600000</v>
      </c>
    </row>
    <row r="26" spans="1:3" x14ac:dyDescent="0.35">
      <c r="A26" s="1" t="s">
        <v>32</v>
      </c>
    </row>
    <row r="27" spans="1:3" x14ac:dyDescent="0.35">
      <c r="A27" t="s">
        <v>18</v>
      </c>
      <c r="B27" s="25">
        <v>0.05</v>
      </c>
    </row>
    <row r="28" spans="1:3" x14ac:dyDescent="0.35">
      <c r="A28" t="s">
        <v>162</v>
      </c>
      <c r="B28" s="25">
        <v>0.1</v>
      </c>
    </row>
    <row r="29" spans="1:3" x14ac:dyDescent="0.35">
      <c r="A29" t="s">
        <v>10</v>
      </c>
      <c r="B29" s="25">
        <v>0.1</v>
      </c>
    </row>
    <row r="30" spans="1:3" x14ac:dyDescent="0.35">
      <c r="A30" t="s">
        <v>11</v>
      </c>
      <c r="B30" s="25">
        <v>0.1</v>
      </c>
    </row>
    <row r="31" spans="1:3" x14ac:dyDescent="0.35">
      <c r="A31" t="s">
        <v>12</v>
      </c>
      <c r="B31" s="25">
        <v>0.1</v>
      </c>
    </row>
    <row r="32" spans="1:3" x14ac:dyDescent="0.35">
      <c r="A32" t="s">
        <v>13</v>
      </c>
      <c r="B32" s="25">
        <v>0.15</v>
      </c>
    </row>
    <row r="35" spans="1:3" x14ac:dyDescent="0.35">
      <c r="A35" t="s">
        <v>47</v>
      </c>
      <c r="B35" s="26">
        <v>0.38</v>
      </c>
    </row>
    <row r="36" spans="1:3" x14ac:dyDescent="0.35">
      <c r="A36" t="s">
        <v>51</v>
      </c>
      <c r="B36" s="26">
        <v>0.04</v>
      </c>
    </row>
    <row r="37" spans="1:3" x14ac:dyDescent="0.35">
      <c r="A37" t="s">
        <v>48</v>
      </c>
      <c r="B37" s="26">
        <v>0.5</v>
      </c>
    </row>
    <row r="39" spans="1:3" x14ac:dyDescent="0.35">
      <c r="A39" t="s">
        <v>49</v>
      </c>
      <c r="B39" s="26">
        <v>0.45</v>
      </c>
    </row>
    <row r="40" spans="1:3" x14ac:dyDescent="0.35">
      <c r="A40" t="s">
        <v>51</v>
      </c>
      <c r="B40" s="26">
        <v>0.05</v>
      </c>
    </row>
    <row r="41" spans="1:3" x14ac:dyDescent="0.35">
      <c r="A41" t="s">
        <v>50</v>
      </c>
      <c r="B41" s="26">
        <v>0.6</v>
      </c>
    </row>
    <row r="43" spans="1:3" x14ac:dyDescent="0.35">
      <c r="A43" t="s">
        <v>37</v>
      </c>
      <c r="B43">
        <v>104</v>
      </c>
      <c r="C43" t="s">
        <v>52</v>
      </c>
    </row>
    <row r="45" spans="1:3" x14ac:dyDescent="0.35">
      <c r="A45" t="s">
        <v>53</v>
      </c>
      <c r="B45">
        <v>14</v>
      </c>
      <c r="C45" t="s">
        <v>54</v>
      </c>
    </row>
    <row r="47" spans="1:3" x14ac:dyDescent="0.35">
      <c r="A47" t="s">
        <v>55</v>
      </c>
      <c r="B47">
        <v>235</v>
      </c>
      <c r="C47" t="s">
        <v>56</v>
      </c>
    </row>
    <row r="48" spans="1:3" x14ac:dyDescent="0.35">
      <c r="A48" t="s">
        <v>57</v>
      </c>
      <c r="B48" s="25">
        <v>0.05</v>
      </c>
    </row>
    <row r="50" spans="1:3" x14ac:dyDescent="0.35">
      <c r="A50" t="s">
        <v>58</v>
      </c>
    </row>
    <row r="51" spans="1:3" x14ac:dyDescent="0.35">
      <c r="A51" t="s">
        <v>59</v>
      </c>
      <c r="B51" s="25">
        <v>0.2</v>
      </c>
    </row>
    <row r="55" spans="1:3" x14ac:dyDescent="0.35">
      <c r="A55" t="s">
        <v>163</v>
      </c>
      <c r="B55">
        <v>2400000</v>
      </c>
    </row>
    <row r="56" spans="1:3" x14ac:dyDescent="0.35">
      <c r="A56" t="s">
        <v>78</v>
      </c>
      <c r="B56">
        <v>1200000</v>
      </c>
    </row>
    <row r="57" spans="1:3" x14ac:dyDescent="0.35">
      <c r="A57" t="s">
        <v>84</v>
      </c>
      <c r="B57">
        <v>600000</v>
      </c>
    </row>
    <row r="60" spans="1:3" x14ac:dyDescent="0.35">
      <c r="A60" t="s">
        <v>72</v>
      </c>
    </row>
    <row r="61" spans="1:3" x14ac:dyDescent="0.35">
      <c r="A61" t="s">
        <v>68</v>
      </c>
      <c r="B61" s="25">
        <v>0.36</v>
      </c>
    </row>
    <row r="62" spans="1:3" x14ac:dyDescent="0.35">
      <c r="A62" t="s">
        <v>70</v>
      </c>
      <c r="B62" s="25">
        <v>0.08</v>
      </c>
    </row>
    <row r="63" spans="1:3" x14ac:dyDescent="0.35">
      <c r="A63" t="s">
        <v>164</v>
      </c>
      <c r="B63" s="25">
        <v>0.06</v>
      </c>
    </row>
    <row r="64" spans="1:3" x14ac:dyDescent="0.35">
      <c r="A64" t="s">
        <v>74</v>
      </c>
      <c r="B64" s="25">
        <v>0.04</v>
      </c>
      <c r="C64" t="s">
        <v>73</v>
      </c>
    </row>
    <row r="65" spans="1:8" x14ac:dyDescent="0.35">
      <c r="A65" t="s">
        <v>163</v>
      </c>
      <c r="B65" s="25">
        <v>0.05</v>
      </c>
    </row>
    <row r="66" spans="1:8" x14ac:dyDescent="0.35">
      <c r="A66" t="s">
        <v>78</v>
      </c>
      <c r="B66" s="25">
        <v>0.02</v>
      </c>
    </row>
    <row r="67" spans="1:8" x14ac:dyDescent="0.35">
      <c r="A67" t="s">
        <v>84</v>
      </c>
      <c r="B67" s="25">
        <v>0.03</v>
      </c>
    </row>
    <row r="68" spans="1:8" x14ac:dyDescent="0.35">
      <c r="A68" t="s">
        <v>79</v>
      </c>
      <c r="B68" s="25"/>
      <c r="D68" s="1">
        <v>1</v>
      </c>
      <c r="E68" s="1">
        <v>2</v>
      </c>
      <c r="F68" s="1">
        <v>3</v>
      </c>
      <c r="G68" s="1">
        <v>4</v>
      </c>
      <c r="H68" s="1">
        <v>5</v>
      </c>
    </row>
    <row r="69" spans="1:8" x14ac:dyDescent="0.35">
      <c r="A69" s="38" t="s">
        <v>80</v>
      </c>
      <c r="B69" s="39">
        <v>240000</v>
      </c>
      <c r="D69">
        <v>240000</v>
      </c>
      <c r="E69">
        <v>252000</v>
      </c>
      <c r="F69">
        <v>264600</v>
      </c>
      <c r="G69">
        <v>277800</v>
      </c>
      <c r="H69">
        <v>291722</v>
      </c>
    </row>
    <row r="70" spans="1:8" x14ac:dyDescent="0.35">
      <c r="A70" s="38" t="s">
        <v>81</v>
      </c>
      <c r="B70" s="39">
        <v>360000</v>
      </c>
      <c r="D70">
        <v>360000</v>
      </c>
      <c r="E70">
        <v>385200</v>
      </c>
      <c r="F70">
        <v>412164</v>
      </c>
      <c r="G70">
        <v>443005</v>
      </c>
      <c r="H70">
        <v>471887</v>
      </c>
    </row>
    <row r="71" spans="1:8" x14ac:dyDescent="0.35">
      <c r="A71" s="38" t="s">
        <v>82</v>
      </c>
      <c r="B71" s="39">
        <v>720000</v>
      </c>
      <c r="D71">
        <v>720000</v>
      </c>
      <c r="E71">
        <v>770400</v>
      </c>
      <c r="F71">
        <v>824328</v>
      </c>
      <c r="G71">
        <v>883011</v>
      </c>
      <c r="H71">
        <v>943773</v>
      </c>
    </row>
    <row r="72" spans="1:8" x14ac:dyDescent="0.35">
      <c r="A72" s="38" t="s">
        <v>83</v>
      </c>
      <c r="B72" s="39">
        <v>1000000</v>
      </c>
      <c r="D72">
        <v>1000000</v>
      </c>
      <c r="E72">
        <v>1070000</v>
      </c>
      <c r="F72">
        <v>1144900</v>
      </c>
      <c r="G72">
        <v>1225043</v>
      </c>
      <c r="H72">
        <v>1320796</v>
      </c>
    </row>
    <row r="73" spans="1:8" x14ac:dyDescent="0.35">
      <c r="A73" t="s">
        <v>87</v>
      </c>
      <c r="D73" s="1">
        <v>1</v>
      </c>
      <c r="E73" s="1">
        <v>2</v>
      </c>
      <c r="F73" s="1">
        <v>3</v>
      </c>
      <c r="G73" s="1">
        <v>4</v>
      </c>
      <c r="H73" s="1">
        <v>5</v>
      </c>
    </row>
    <row r="74" spans="1:8" x14ac:dyDescent="0.35">
      <c r="A74" s="38" t="s">
        <v>80</v>
      </c>
      <c r="D74">
        <v>2</v>
      </c>
      <c r="E74">
        <v>3</v>
      </c>
      <c r="F74">
        <v>4</v>
      </c>
      <c r="G74">
        <v>5</v>
      </c>
      <c r="H74">
        <v>5</v>
      </c>
    </row>
    <row r="75" spans="1:8" x14ac:dyDescent="0.35">
      <c r="A75" s="38" t="s">
        <v>81</v>
      </c>
      <c r="D75">
        <v>16</v>
      </c>
      <c r="E75">
        <v>20</v>
      </c>
      <c r="F75">
        <v>20</v>
      </c>
      <c r="G75">
        <v>24</v>
      </c>
      <c r="H75">
        <v>24</v>
      </c>
    </row>
    <row r="76" spans="1:8" x14ac:dyDescent="0.35">
      <c r="A76" s="38" t="s">
        <v>82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35">
      <c r="A77" s="38" t="s">
        <v>83</v>
      </c>
      <c r="D77">
        <v>1</v>
      </c>
      <c r="E77">
        <v>1</v>
      </c>
      <c r="F77">
        <v>1</v>
      </c>
      <c r="G77">
        <v>1</v>
      </c>
      <c r="H77">
        <v>1</v>
      </c>
    </row>
    <row r="79" spans="1:8" x14ac:dyDescent="0.35">
      <c r="A79" t="s">
        <v>85</v>
      </c>
      <c r="B79">
        <v>2</v>
      </c>
      <c r="C79" t="s">
        <v>86</v>
      </c>
    </row>
    <row r="81" spans="1:3" x14ac:dyDescent="0.35">
      <c r="A81" t="s">
        <v>165</v>
      </c>
    </row>
    <row r="82" spans="1:3" x14ac:dyDescent="0.35">
      <c r="A82" t="s">
        <v>122</v>
      </c>
      <c r="B82">
        <v>30</v>
      </c>
      <c r="C82" t="s">
        <v>123</v>
      </c>
    </row>
    <row r="83" spans="1:3" x14ac:dyDescent="0.35">
      <c r="A83" t="s">
        <v>124</v>
      </c>
      <c r="B83">
        <v>7</v>
      </c>
    </row>
    <row r="84" spans="1:3" x14ac:dyDescent="0.35">
      <c r="A84" t="s">
        <v>127</v>
      </c>
      <c r="B84">
        <v>10000000</v>
      </c>
      <c r="C84" t="s">
        <v>128</v>
      </c>
    </row>
    <row r="85" spans="1:3" x14ac:dyDescent="0.35">
      <c r="A85" t="s">
        <v>125</v>
      </c>
      <c r="B85" s="25">
        <v>0.18</v>
      </c>
    </row>
    <row r="86" spans="1:3" x14ac:dyDescent="0.35">
      <c r="A86" t="s">
        <v>126</v>
      </c>
      <c r="B86" s="25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8B17-848B-4782-B6B4-2759C7123D36}">
  <sheetPr codeName="Sheet2"/>
  <dimension ref="A1:H15"/>
  <sheetViews>
    <sheetView showGridLines="0" workbookViewId="0"/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6" t="s">
        <v>19</v>
      </c>
      <c r="B1" s="6"/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</row>
    <row r="2" spans="1:8" x14ac:dyDescent="0.35">
      <c r="A2" s="6" t="s">
        <v>20</v>
      </c>
      <c r="B2" s="6"/>
      <c r="C2" s="10">
        <f>'Input Data'!B2</f>
        <v>45383</v>
      </c>
      <c r="D2" s="10">
        <f>EOMONTH(C2,11)</f>
        <v>45747</v>
      </c>
      <c r="E2" s="10">
        <f>EOMONTH(D2,12)</f>
        <v>46112</v>
      </c>
      <c r="F2" s="10">
        <f t="shared" ref="F2:H2" si="0">EOMONTH(E2,12)</f>
        <v>46477</v>
      </c>
      <c r="G2" s="10">
        <f t="shared" si="0"/>
        <v>46843</v>
      </c>
      <c r="H2" s="10">
        <f t="shared" si="0"/>
        <v>47208</v>
      </c>
    </row>
    <row r="3" spans="1:8" x14ac:dyDescent="0.35">
      <c r="A3" t="s">
        <v>152</v>
      </c>
      <c r="C3" s="12">
        <f>-'Input Data'!B4</f>
        <v>-45000000</v>
      </c>
    </row>
    <row r="4" spans="1:8" x14ac:dyDescent="0.35">
      <c r="A4" t="s">
        <v>21</v>
      </c>
      <c r="C4" s="12">
        <f>IF(C$2&gt;'Input Data'!$B$2,MAX('Input Data'!$B$4*'Input Data'!$B$7,B4*(1+'Input Data'!$B$8)),0)</f>
        <v>0</v>
      </c>
      <c r="D4" s="12">
        <f>IF(D$2&gt;'Input Data'!$B$2,MAX('Input Data'!$B$4*'Input Data'!$B$7,C4*(1+'Input Data'!$B$8)),0)</f>
        <v>2250000</v>
      </c>
      <c r="E4" s="12">
        <f>IF(E$2&gt;'Input Data'!$B$2,MAX('Input Data'!$B$4*'Input Data'!$B$7,D4*(1+'Input Data'!$B$8)),0)</f>
        <v>2430000</v>
      </c>
      <c r="F4" s="12">
        <f>IF(F$2&gt;'Input Data'!$B$2,MAX('Input Data'!$B$4*'Input Data'!$B$7,E4*(1+'Input Data'!$B$8)),0)</f>
        <v>2624400</v>
      </c>
      <c r="G4" s="12">
        <f>IF(G$2&gt;'Input Data'!$B$2,MAX('Input Data'!$B$4*'Input Data'!$B$7,F4*(1+'Input Data'!$B$8)),0)</f>
        <v>2834352</v>
      </c>
      <c r="H4" s="12">
        <f>IF(H$2&gt;'Input Data'!$B$2,MAX('Input Data'!$B$4*'Input Data'!$B$7,G4*(1+'Input Data'!$B$8)),0)</f>
        <v>3061100.16</v>
      </c>
    </row>
    <row r="5" spans="1:8" x14ac:dyDescent="0.35">
      <c r="A5" t="s">
        <v>22</v>
      </c>
      <c r="C5" s="12">
        <f>IF(C$2&gt;'Input Data'!A2,'Input Data'!A10*'Input Data'!A11,0)</f>
        <v>0</v>
      </c>
      <c r="D5" s="12">
        <f>IF(D$2&gt;'Input Data'!$B$2,'Input Data'!$B$10*'Input Data'!$B$11,0)</f>
        <v>300000</v>
      </c>
      <c r="E5" s="12">
        <f>IF(E$2&gt;'Input Data'!$B$2,'Input Data'!$B$10*'Input Data'!$B$11,0)</f>
        <v>300000</v>
      </c>
      <c r="F5" s="12">
        <f>IF(F$2&gt;'Input Data'!$B$2,'Input Data'!$B$10*'Input Data'!$B$11,0)</f>
        <v>300000</v>
      </c>
      <c r="G5" s="12">
        <f>IF(G$2&gt;'Input Data'!$B$2,'Input Data'!$B$10*'Input Data'!$B$11,0)</f>
        <v>300000</v>
      </c>
      <c r="H5" s="12">
        <f>IF(H$2&gt;'Input Data'!$B$2,'Input Data'!$B$10*'Input Data'!$B$11,0)</f>
        <v>300000</v>
      </c>
    </row>
    <row r="6" spans="1:8" x14ac:dyDescent="0.35">
      <c r="A6" t="s">
        <v>23</v>
      </c>
      <c r="C6" s="12">
        <f>'Input Data'!B10</f>
        <v>5000000</v>
      </c>
    </row>
    <row r="7" spans="1:8" x14ac:dyDescent="0.35">
      <c r="A7" s="13" t="s">
        <v>25</v>
      </c>
      <c r="B7" s="13"/>
      <c r="C7" s="14">
        <f>SUM(C4:C6)</f>
        <v>5000000</v>
      </c>
      <c r="D7" s="14">
        <f t="shared" ref="D7:H7" si="1">SUM(D4:D6)</f>
        <v>2550000</v>
      </c>
      <c r="E7" s="14">
        <f t="shared" si="1"/>
        <v>2730000</v>
      </c>
      <c r="F7" s="14">
        <f t="shared" si="1"/>
        <v>2924400</v>
      </c>
      <c r="G7" s="14">
        <f t="shared" si="1"/>
        <v>3134352</v>
      </c>
      <c r="H7" s="14">
        <f t="shared" si="1"/>
        <v>3361100.16</v>
      </c>
    </row>
    <row r="8" spans="1:8" x14ac:dyDescent="0.35">
      <c r="A8" t="s">
        <v>24</v>
      </c>
      <c r="D8" s="12">
        <f>D7*'Input Data'!$B$12+C6*'Input Data'!B12</f>
        <v>1900335.0000000005</v>
      </c>
      <c r="E8" s="12">
        <f>E7*'Input Data'!$B$12+D6*'Input Data'!C12</f>
        <v>687141.00000000012</v>
      </c>
      <c r="F8" s="12">
        <f>F7*'Input Data'!$B$12+E6*'Input Data'!D12</f>
        <v>736071.4800000001</v>
      </c>
      <c r="G8" s="12">
        <f>G7*'Input Data'!$B$12+F6*'Input Data'!E12</f>
        <v>788916.39840000006</v>
      </c>
      <c r="H8" s="12">
        <f>H7*'Input Data'!$B$12+G6*'Input Data'!F12</f>
        <v>845988.91027200012</v>
      </c>
    </row>
    <row r="9" spans="1:8" x14ac:dyDescent="0.35">
      <c r="A9" s="13" t="s">
        <v>26</v>
      </c>
      <c r="B9" s="15"/>
      <c r="C9" s="16">
        <f>+C7-C8</f>
        <v>5000000</v>
      </c>
      <c r="D9" s="16">
        <f t="shared" ref="D9:H9" si="2">+D7-D8</f>
        <v>649664.99999999953</v>
      </c>
      <c r="E9" s="16">
        <f t="shared" si="2"/>
        <v>2042859</v>
      </c>
      <c r="F9" s="16">
        <f t="shared" si="2"/>
        <v>2188328.52</v>
      </c>
      <c r="G9" s="16">
        <f t="shared" si="2"/>
        <v>2345435.6015999997</v>
      </c>
      <c r="H9" s="16">
        <f t="shared" si="2"/>
        <v>2515111.2497279998</v>
      </c>
    </row>
    <row r="10" spans="1:8" x14ac:dyDescent="0.35">
      <c r="A10" s="18" t="s">
        <v>27</v>
      </c>
      <c r="H10" s="59">
        <f>'Input Data'!$B$4*(1+'Input Data'!$B$9)^H1</f>
        <v>82909583.068499953</v>
      </c>
    </row>
    <row r="11" spans="1:8" x14ac:dyDescent="0.35">
      <c r="A11" s="20" t="s">
        <v>28</v>
      </c>
      <c r="C11" s="14">
        <f>+C9+C10+C3</f>
        <v>-40000000</v>
      </c>
      <c r="D11" s="14">
        <f t="shared" ref="D11:H11" si="3">+D9+D10+D3</f>
        <v>649664.99999999953</v>
      </c>
      <c r="E11" s="14">
        <f t="shared" si="3"/>
        <v>2042859</v>
      </c>
      <c r="F11" s="14">
        <f t="shared" si="3"/>
        <v>2188328.52</v>
      </c>
      <c r="G11" s="14">
        <f t="shared" si="3"/>
        <v>2345435.6015999997</v>
      </c>
      <c r="H11" s="14">
        <f t="shared" si="3"/>
        <v>85424694.318227947</v>
      </c>
    </row>
    <row r="12" spans="1:8" x14ac:dyDescent="0.35">
      <c r="C12" s="16"/>
      <c r="D12" s="16"/>
      <c r="E12" s="16"/>
      <c r="F12" s="16"/>
      <c r="G12" s="16"/>
      <c r="H12" s="19"/>
    </row>
    <row r="13" spans="1:8" x14ac:dyDescent="0.35">
      <c r="A13" s="21" t="s">
        <v>29</v>
      </c>
      <c r="B13" s="22"/>
      <c r="C13" s="23">
        <f>XIRR(C11:H11,C2:H2)</f>
        <v>0.19159794449806214</v>
      </c>
    </row>
    <row r="14" spans="1:8" x14ac:dyDescent="0.35">
      <c r="A14" s="1"/>
      <c r="C14" s="57"/>
      <c r="D14" s="58"/>
      <c r="E14" s="58"/>
      <c r="F14" s="58"/>
      <c r="G14" s="58"/>
      <c r="H14" s="58"/>
    </row>
    <row r="15" spans="1:8" x14ac:dyDescent="0.35">
      <c r="C15" s="24" t="s">
        <v>30</v>
      </c>
      <c r="D15" s="1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B8BE-CCD0-4881-BA8E-1F163CEE4B98}">
  <sheetPr codeName="Sheet3"/>
  <dimension ref="A1:J43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10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10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10" x14ac:dyDescent="0.35">
      <c r="A3" s="1" t="s">
        <v>33</v>
      </c>
      <c r="C3" s="12">
        <f>IF(C$2&gt;'Input Data'!A15,MIN(C$2-'Input Data'!$B$15+1,'Input Data'!$B$16),0)</f>
        <v>0</v>
      </c>
      <c r="D3" s="12">
        <f>IF(D$2&gt;'Input Data'!B15,MIN(D$2-'Input Data'!$B$15+1,'Input Data'!$B$16),0)</f>
        <v>365</v>
      </c>
      <c r="E3" s="12">
        <f>IF(E$2&gt;'Input Data'!C15,MIN(E$2-'Input Data'!$B$15+1,'Input Data'!$B$16),0)</f>
        <v>365</v>
      </c>
      <c r="F3" s="12">
        <f>IF(F$2&gt;'Input Data'!D15,MIN(F$2-'Input Data'!$B$15+1,'Input Data'!$B$16),0)</f>
        <v>365</v>
      </c>
      <c r="G3" s="12">
        <f>IF(G$2&gt;'Input Data'!E15,MIN(G$2-'Input Data'!$B$15+1,'Input Data'!$B$16),0)</f>
        <v>365</v>
      </c>
      <c r="H3" s="12">
        <f>IF(H$2&gt;'Input Data'!F15,MIN(H$2-'Input Data'!$B$15+1,'Input Data'!$B$16),0)</f>
        <v>365</v>
      </c>
    </row>
    <row r="4" spans="1:10" x14ac:dyDescent="0.35">
      <c r="A4" t="s">
        <v>34</v>
      </c>
      <c r="C4" s="12">
        <f>IF(C$2&gt;'Input Data'!A15,NETWORKDAYS(B2,C2),0)</f>
        <v>0</v>
      </c>
      <c r="D4" s="12">
        <f>IF(D$2&gt;'Input Data'!B15,NETWORKDAYS(C2,D2),0)</f>
        <v>261</v>
      </c>
      <c r="E4" s="12">
        <f>IF(E$2&gt;'Input Data'!C15,NETWORKDAYS(D2,E2),0)</f>
        <v>262</v>
      </c>
      <c r="F4" s="12">
        <f>IF(F$2&gt;'Input Data'!D15,NETWORKDAYS(E2,F2),0)</f>
        <v>262</v>
      </c>
      <c r="G4" s="12">
        <f>IF(G$2&gt;'Input Data'!E15,NETWORKDAYS(F2,G2),0)</f>
        <v>263</v>
      </c>
      <c r="H4" s="12">
        <f>IF(H$2&gt;'Input Data'!F15,NETWORKDAYS(G2,H2),0)</f>
        <v>261</v>
      </c>
    </row>
    <row r="5" spans="1:10" x14ac:dyDescent="0.35">
      <c r="A5" t="s">
        <v>35</v>
      </c>
      <c r="C5" s="12">
        <f>+C3-C4</f>
        <v>0</v>
      </c>
      <c r="D5" s="12">
        <f>+D3-D4</f>
        <v>104</v>
      </c>
      <c r="E5" s="12">
        <f t="shared" ref="E5:H5" si="1">+E3-E4</f>
        <v>103</v>
      </c>
      <c r="F5" s="12">
        <f t="shared" si="1"/>
        <v>103</v>
      </c>
      <c r="G5" s="12">
        <f t="shared" si="1"/>
        <v>102</v>
      </c>
      <c r="H5" s="12">
        <f t="shared" si="1"/>
        <v>104</v>
      </c>
    </row>
    <row r="7" spans="1:10" x14ac:dyDescent="0.35">
      <c r="A7" s="1" t="s">
        <v>36</v>
      </c>
    </row>
    <row r="8" spans="1:10" x14ac:dyDescent="0.35">
      <c r="A8" t="s">
        <v>34</v>
      </c>
      <c r="C8" s="25">
        <f>IF(C$2&gt;'Input Data'!$B$15,MIN(MAX('Input Data'!$B$35,B8+'Input Data'!$B$36),'Input Data'!$B$37),0)</f>
        <v>0</v>
      </c>
      <c r="D8" s="25">
        <f>IF(D$2&gt;'Input Data'!$B$15,MIN(MAX('Input Data'!$B$35,C8+'Input Data'!$B$36),'Input Data'!$B$37),0)</f>
        <v>0.38</v>
      </c>
      <c r="E8" s="25">
        <f>IF(E$2&gt;'Input Data'!$B$15,MIN(MAX('Input Data'!$B$35,D8+'Input Data'!$B$36),'Input Data'!$B$37),0)</f>
        <v>0.42</v>
      </c>
      <c r="F8" s="25">
        <f>IF(F$2&gt;'Input Data'!$B$15,MIN(MAX('Input Data'!$B$35,E8+'Input Data'!$B$36),'Input Data'!$B$37),0)</f>
        <v>0.45999999999999996</v>
      </c>
      <c r="G8" s="25">
        <f>IF(G$2&gt;'Input Data'!$B$15,MIN(MAX('Input Data'!$B$35,F8+'Input Data'!$B$36),'Input Data'!$B$37),0)</f>
        <v>0.49999999999999994</v>
      </c>
      <c r="H8" s="25">
        <f>IF(H$2&gt;'Input Data'!$B$15,MIN(MAX('Input Data'!$B$35,G8+'Input Data'!$B$36),'Input Data'!$B$37),0)</f>
        <v>0.5</v>
      </c>
      <c r="I8" s="27">
        <v>0.04</v>
      </c>
      <c r="J8" s="27" t="s">
        <v>46</v>
      </c>
    </row>
    <row r="9" spans="1:10" x14ac:dyDescent="0.35">
      <c r="A9" t="s">
        <v>35</v>
      </c>
      <c r="C9" s="25">
        <f>IF(C$2&gt;'Input Data'!$B$15,MIN(MAX('Input Data'!$B$39,B9+'Input Data'!$B$40),'Input Data'!$B$41),0)</f>
        <v>0</v>
      </c>
      <c r="D9" s="25">
        <f>IF(D$2&gt;'Input Data'!$B$15,MIN(MAX('Input Data'!$B$39,C9+'Input Data'!$B$40),'Input Data'!$B$41),0)</f>
        <v>0.45</v>
      </c>
      <c r="E9" s="25">
        <f>IF(E$2&gt;'Input Data'!$B$15,MIN(MAX('Input Data'!$B$39,D9+'Input Data'!$B$40),'Input Data'!$B$41),0)</f>
        <v>0.5</v>
      </c>
      <c r="F9" s="25">
        <f>IF(F$2&gt;'Input Data'!$B$15,MIN(MAX('Input Data'!$B$39,E9+'Input Data'!$B$40),'Input Data'!$B$41),0)</f>
        <v>0.55000000000000004</v>
      </c>
      <c r="G9" s="25">
        <f>IF(G$2&gt;'Input Data'!$B$15,MIN(MAX('Input Data'!$B$39,F9+'Input Data'!$B$40),'Input Data'!$B$41),0)</f>
        <v>0.6</v>
      </c>
      <c r="H9" s="25">
        <f>IF(H$2&gt;'Input Data'!$B$15,MIN(MAX('Input Data'!$B$39,G9+'Input Data'!$B$40),'Input Data'!$B$41),0)</f>
        <v>0.6</v>
      </c>
      <c r="I9" s="27">
        <v>0.05</v>
      </c>
      <c r="J9" s="27" t="s">
        <v>46</v>
      </c>
    </row>
    <row r="11" spans="1:10" x14ac:dyDescent="0.35">
      <c r="A11" t="s">
        <v>37</v>
      </c>
      <c r="C11" s="12">
        <f>IF(C$2&gt;'Input Data'!$B$15,'Input Data'!$B$43,0)</f>
        <v>0</v>
      </c>
      <c r="D11" s="12">
        <f>IF(D$2&gt;'Input Data'!$B$15,'Input Data'!$B$43,0)</f>
        <v>104</v>
      </c>
      <c r="E11" s="12">
        <f>IF(E$2&gt;'Input Data'!$B$15,'Input Data'!$B$43,0)</f>
        <v>104</v>
      </c>
      <c r="F11" s="12">
        <f>IF(F$2&gt;'Input Data'!$B$15,'Input Data'!$B$43,0)</f>
        <v>104</v>
      </c>
      <c r="G11" s="12">
        <f>IF(G$2&gt;'Input Data'!$B$15,'Input Data'!$B$43,0)</f>
        <v>104</v>
      </c>
      <c r="H11" s="12">
        <f>IF(H$2&gt;'Input Data'!$B$15,'Input Data'!$B$43,0)</f>
        <v>104</v>
      </c>
    </row>
    <row r="13" spans="1:10" x14ac:dyDescent="0.35">
      <c r="A13" t="s">
        <v>38</v>
      </c>
      <c r="C13" s="12">
        <f>IF(C$2&gt;'Input Data'!$B$15,'Input Data'!$B$45,0)</f>
        <v>0</v>
      </c>
      <c r="D13" s="12">
        <f>IF(D$2&gt;'Input Data'!$B$15,'Input Data'!$B$45,0)</f>
        <v>14</v>
      </c>
      <c r="E13" s="12">
        <f>IF(E$2&gt;'Input Data'!$B$15,'Input Data'!$B$45,0)</f>
        <v>14</v>
      </c>
      <c r="F13" s="12">
        <f>IF(F$2&gt;'Input Data'!$B$15,'Input Data'!$B$45,0)</f>
        <v>14</v>
      </c>
      <c r="G13" s="12">
        <f>IF(G$2&gt;'Input Data'!$B$15,'Input Data'!$B$45,0)</f>
        <v>14</v>
      </c>
      <c r="H13" s="12">
        <f>IF(H$2&gt;'Input Data'!$B$15,'Input Data'!$B$45,0)</f>
        <v>14</v>
      </c>
    </row>
    <row r="14" spans="1:10" x14ac:dyDescent="0.35">
      <c r="A14" s="1"/>
    </row>
    <row r="15" spans="1:10" x14ac:dyDescent="0.35">
      <c r="A15" s="1" t="s">
        <v>39</v>
      </c>
    </row>
    <row r="16" spans="1:10" x14ac:dyDescent="0.35">
      <c r="A16" t="s">
        <v>34</v>
      </c>
      <c r="C16" s="12">
        <f>+$D$11*C8*$D$13</f>
        <v>0</v>
      </c>
      <c r="D16" s="12">
        <f t="shared" ref="D16:H16" si="2">+$D$11*D8*$D$13</f>
        <v>553.28000000000009</v>
      </c>
      <c r="E16" s="12">
        <f t="shared" si="2"/>
        <v>611.52</v>
      </c>
      <c r="F16" s="12">
        <f t="shared" si="2"/>
        <v>669.76</v>
      </c>
      <c r="G16" s="12">
        <f t="shared" si="2"/>
        <v>727.99999999999989</v>
      </c>
      <c r="H16" s="12">
        <f t="shared" si="2"/>
        <v>728</v>
      </c>
    </row>
    <row r="17" spans="1:8" x14ac:dyDescent="0.35">
      <c r="A17" t="s">
        <v>35</v>
      </c>
      <c r="C17" s="12">
        <f t="shared" ref="C17:H17" si="3">+$D$11*C9*$D$13</f>
        <v>0</v>
      </c>
      <c r="D17" s="12">
        <f t="shared" si="3"/>
        <v>655.20000000000005</v>
      </c>
      <c r="E17" s="12">
        <f t="shared" si="3"/>
        <v>728</v>
      </c>
      <c r="F17" s="12">
        <f t="shared" si="3"/>
        <v>800.80000000000007</v>
      </c>
      <c r="G17" s="12">
        <f t="shared" si="3"/>
        <v>873.6</v>
      </c>
      <c r="H17" s="12">
        <f t="shared" si="3"/>
        <v>873.6</v>
      </c>
    </row>
    <row r="19" spans="1:8" x14ac:dyDescent="0.35">
      <c r="A19" s="1" t="s">
        <v>40</v>
      </c>
      <c r="C19" s="12">
        <f>IF(C$2&gt;'Input Data'!$B$15,MAX('Input Data'!$B$47,Revenue!B19*(1+'Input Data'!$B$48)),0)</f>
        <v>0</v>
      </c>
      <c r="D19" s="12">
        <f>IF(D$2&gt;'Input Data'!$B$15,MAX('Input Data'!$B$47,Revenue!C19*(1+'Input Data'!$B$48)),0)</f>
        <v>235</v>
      </c>
      <c r="E19" s="12">
        <f>IF(E$2&gt;'Input Data'!$B$15,MAX('Input Data'!$B$47,Revenue!D19*(1+'Input Data'!$B$48)),0)</f>
        <v>246.75</v>
      </c>
      <c r="F19" s="12">
        <f>IF(F$2&gt;'Input Data'!$B$15,MAX('Input Data'!$B$47,Revenue!E19*(1+'Input Data'!$B$48)),0)</f>
        <v>259.08750000000003</v>
      </c>
      <c r="G19" s="12">
        <f>IF(G$2&gt;'Input Data'!$B$15,MAX('Input Data'!$B$47,Revenue!F19*(1+'Input Data'!$B$48)),0)</f>
        <v>272.04187500000006</v>
      </c>
      <c r="H19" s="12">
        <f>IF(H$2&gt;'Input Data'!$B$15,MAX('Input Data'!$B$47,Revenue!G19*(1+'Input Data'!$B$48)),0)</f>
        <v>285.64396875000006</v>
      </c>
    </row>
    <row r="21" spans="1:8" x14ac:dyDescent="0.35">
      <c r="A21" s="1" t="s">
        <v>41</v>
      </c>
    </row>
    <row r="22" spans="1:8" x14ac:dyDescent="0.35">
      <c r="A22" s="1" t="s">
        <v>42</v>
      </c>
    </row>
    <row r="23" spans="1:8" x14ac:dyDescent="0.35">
      <c r="A23" t="s">
        <v>34</v>
      </c>
      <c r="C23" s="12">
        <f>+C16*C19</f>
        <v>0</v>
      </c>
      <c r="D23" s="12">
        <f>+D16*D19</f>
        <v>130020.80000000002</v>
      </c>
      <c r="E23" s="12">
        <f t="shared" ref="E23:H23" si="4">+E16*E19</f>
        <v>150892.56</v>
      </c>
      <c r="F23" s="12">
        <f t="shared" si="4"/>
        <v>173526.44400000002</v>
      </c>
      <c r="G23" s="12">
        <f t="shared" si="4"/>
        <v>198046.48500000002</v>
      </c>
      <c r="H23" s="12">
        <f t="shared" si="4"/>
        <v>207948.80925000005</v>
      </c>
    </row>
    <row r="24" spans="1:8" x14ac:dyDescent="0.35">
      <c r="A24" t="s">
        <v>35</v>
      </c>
      <c r="C24" s="12">
        <f>C19*C17</f>
        <v>0</v>
      </c>
      <c r="D24" s="12">
        <f>+D17*D19</f>
        <v>153972</v>
      </c>
      <c r="E24" s="12">
        <f t="shared" ref="E24:H24" si="5">+E17*E19</f>
        <v>179634</v>
      </c>
      <c r="F24" s="12">
        <f t="shared" si="5"/>
        <v>207477.27000000005</v>
      </c>
      <c r="G24" s="12">
        <f t="shared" si="5"/>
        <v>237655.78200000006</v>
      </c>
      <c r="H24" s="12">
        <f t="shared" si="5"/>
        <v>249538.57110000006</v>
      </c>
    </row>
    <row r="25" spans="1:8" x14ac:dyDescent="0.35">
      <c r="A25" s="1" t="s">
        <v>43</v>
      </c>
    </row>
    <row r="26" spans="1:8" x14ac:dyDescent="0.35">
      <c r="A26" t="s">
        <v>34</v>
      </c>
      <c r="C26" s="12">
        <f>+C23*'Input Data'!$B$51</f>
        <v>0</v>
      </c>
      <c r="D26" s="12">
        <f>+D23*'Input Data'!$B$51</f>
        <v>26004.160000000003</v>
      </c>
      <c r="E26" s="12">
        <f>+E23*'Input Data'!$B$51</f>
        <v>30178.512000000002</v>
      </c>
      <c r="F26" s="12">
        <f>+F23*'Input Data'!$B$51</f>
        <v>34705.288800000002</v>
      </c>
      <c r="G26" s="12">
        <f>+G23*'Input Data'!$B$51</f>
        <v>39609.297000000006</v>
      </c>
      <c r="H26" s="12">
        <f>+H23*'Input Data'!$B$51</f>
        <v>41589.76185000001</v>
      </c>
    </row>
    <row r="27" spans="1:8" x14ac:dyDescent="0.35">
      <c r="A27" t="s">
        <v>35</v>
      </c>
      <c r="C27" s="12">
        <f>C24*'Input Data'!$B$51</f>
        <v>0</v>
      </c>
      <c r="D27" s="12">
        <f>D24*'Input Data'!$B$51</f>
        <v>30794.400000000001</v>
      </c>
      <c r="E27" s="12">
        <f>E24*'Input Data'!$B$51</f>
        <v>35926.800000000003</v>
      </c>
      <c r="F27" s="12">
        <f>F24*'Input Data'!$B$51</f>
        <v>41495.454000000012</v>
      </c>
      <c r="G27" s="12">
        <f>G24*'Input Data'!$B$51</f>
        <v>47531.156400000014</v>
      </c>
      <c r="H27" s="12">
        <f>H24*'Input Data'!$B$51</f>
        <v>49907.714220000016</v>
      </c>
    </row>
    <row r="28" spans="1:8" x14ac:dyDescent="0.35">
      <c r="A28" s="1" t="s">
        <v>44</v>
      </c>
    </row>
    <row r="29" spans="1:8" x14ac:dyDescent="0.35">
      <c r="A29" s="13" t="s">
        <v>41</v>
      </c>
      <c r="B29" s="13"/>
      <c r="C29" s="14">
        <f>+C23+C26</f>
        <v>0</v>
      </c>
      <c r="D29" s="14">
        <f>+D23+D26</f>
        <v>156024.96000000002</v>
      </c>
      <c r="E29" s="14">
        <f t="shared" ref="E29:H29" si="6">+E23+E26</f>
        <v>181071.07199999999</v>
      </c>
      <c r="F29" s="14">
        <f t="shared" si="6"/>
        <v>208231.73280000003</v>
      </c>
      <c r="G29" s="14">
        <f t="shared" si="6"/>
        <v>237655.78200000001</v>
      </c>
      <c r="H29" s="14">
        <f t="shared" si="6"/>
        <v>249538.57110000006</v>
      </c>
    </row>
    <row r="30" spans="1:8" x14ac:dyDescent="0.35">
      <c r="A30" s="28" t="s">
        <v>35</v>
      </c>
      <c r="B30" s="28"/>
      <c r="C30" s="29">
        <f>+C24+C27</f>
        <v>0</v>
      </c>
      <c r="D30" s="29">
        <f>+D24+D27</f>
        <v>184766.4</v>
      </c>
      <c r="E30" s="29">
        <f t="shared" ref="E30:H30" si="7">+E24+E27</f>
        <v>215560.8</v>
      </c>
      <c r="F30" s="29">
        <f t="shared" si="7"/>
        <v>248972.72400000005</v>
      </c>
      <c r="G30" s="29">
        <f t="shared" si="7"/>
        <v>285186.9384000001</v>
      </c>
      <c r="H30" s="29">
        <f t="shared" si="7"/>
        <v>299446.28532000008</v>
      </c>
    </row>
    <row r="32" spans="1:8" x14ac:dyDescent="0.35">
      <c r="A32" s="1" t="s">
        <v>45</v>
      </c>
    </row>
    <row r="33" spans="1:8" x14ac:dyDescent="0.35">
      <c r="A33" s="1" t="s">
        <v>60</v>
      </c>
    </row>
    <row r="34" spans="1:8" x14ac:dyDescent="0.35">
      <c r="A34" t="s">
        <v>34</v>
      </c>
      <c r="C34" s="12">
        <f>+C23*C4</f>
        <v>0</v>
      </c>
      <c r="D34" s="12">
        <f>+D23*D4</f>
        <v>33935428.800000004</v>
      </c>
      <c r="E34" s="12">
        <f t="shared" ref="E34:H34" si="8">+E23*E4</f>
        <v>39533850.719999999</v>
      </c>
      <c r="F34" s="12">
        <f t="shared" si="8"/>
        <v>45463928.328000002</v>
      </c>
      <c r="G34" s="12">
        <f t="shared" si="8"/>
        <v>52086225.555000007</v>
      </c>
      <c r="H34" s="12">
        <f t="shared" si="8"/>
        <v>54274639.214250013</v>
      </c>
    </row>
    <row r="35" spans="1:8" x14ac:dyDescent="0.35">
      <c r="A35" t="s">
        <v>35</v>
      </c>
      <c r="C35" s="12">
        <f>+C24*C5</f>
        <v>0</v>
      </c>
      <c r="D35" s="12">
        <f>+D24*D5</f>
        <v>16013088</v>
      </c>
      <c r="E35" s="12">
        <f t="shared" ref="E35:H35" si="9">+E24*E5</f>
        <v>18502302</v>
      </c>
      <c r="F35" s="12">
        <f t="shared" si="9"/>
        <v>21370158.810000006</v>
      </c>
      <c r="G35" s="12">
        <f t="shared" si="9"/>
        <v>24240889.764000006</v>
      </c>
      <c r="H35" s="12">
        <f t="shared" si="9"/>
        <v>25952011.394400008</v>
      </c>
    </row>
    <row r="36" spans="1:8" x14ac:dyDescent="0.35">
      <c r="A36" s="1" t="s">
        <v>62</v>
      </c>
      <c r="C36" s="18">
        <f>+C34+C35</f>
        <v>0</v>
      </c>
      <c r="D36" s="18">
        <f>+D34+D35</f>
        <v>49948516.800000004</v>
      </c>
      <c r="E36" s="18">
        <f t="shared" ref="E36:H36" si="10">+E34+E35</f>
        <v>58036152.719999999</v>
      </c>
      <c r="F36" s="18">
        <f t="shared" si="10"/>
        <v>66834087.138000011</v>
      </c>
      <c r="G36" s="18">
        <f t="shared" si="10"/>
        <v>76327115.319000006</v>
      </c>
      <c r="H36" s="18">
        <f t="shared" si="10"/>
        <v>80226650.608650029</v>
      </c>
    </row>
    <row r="37" spans="1:8" x14ac:dyDescent="0.35">
      <c r="A37" s="1" t="s">
        <v>61</v>
      </c>
    </row>
    <row r="38" spans="1:8" x14ac:dyDescent="0.35">
      <c r="A38" t="s">
        <v>34</v>
      </c>
      <c r="C38" s="12">
        <f>+C26*C4</f>
        <v>0</v>
      </c>
      <c r="D38" s="12">
        <f>+D26*D4</f>
        <v>6787085.7600000007</v>
      </c>
      <c r="E38" s="12">
        <f t="shared" ref="E38:H38" si="11">+E26*E4</f>
        <v>7906770.1440000003</v>
      </c>
      <c r="F38" s="12">
        <f t="shared" si="11"/>
        <v>9092785.6655999999</v>
      </c>
      <c r="G38" s="12">
        <f t="shared" si="11"/>
        <v>10417245.111000001</v>
      </c>
      <c r="H38" s="12">
        <f t="shared" si="11"/>
        <v>10854927.842850003</v>
      </c>
    </row>
    <row r="39" spans="1:8" x14ac:dyDescent="0.35">
      <c r="A39" t="s">
        <v>35</v>
      </c>
      <c r="C39" s="12">
        <f>+C27*C5</f>
        <v>0</v>
      </c>
      <c r="D39" s="12">
        <f>+D27*D5</f>
        <v>3202617.6</v>
      </c>
      <c r="E39" s="12">
        <f t="shared" ref="E39:H39" si="12">+E27*E5</f>
        <v>3700460.4000000004</v>
      </c>
      <c r="F39" s="12">
        <f t="shared" si="12"/>
        <v>4274031.762000001</v>
      </c>
      <c r="G39" s="12">
        <f t="shared" si="12"/>
        <v>4848177.952800001</v>
      </c>
      <c r="H39" s="12">
        <f t="shared" si="12"/>
        <v>5190402.278880002</v>
      </c>
    </row>
    <row r="40" spans="1:8" x14ac:dyDescent="0.35">
      <c r="A40" s="1" t="s">
        <v>63</v>
      </c>
      <c r="C40" s="18">
        <f>+C38+C39</f>
        <v>0</v>
      </c>
      <c r="D40" s="18">
        <f>+D38+D39</f>
        <v>9989703.3600000013</v>
      </c>
      <c r="E40" s="18">
        <f t="shared" ref="E40:H40" si="13">+E38+E39</f>
        <v>11607230.544</v>
      </c>
      <c r="F40" s="18">
        <f t="shared" si="13"/>
        <v>13366817.4276</v>
      </c>
      <c r="G40" s="18">
        <f t="shared" si="13"/>
        <v>15265423.063800003</v>
      </c>
      <c r="H40" s="18">
        <f t="shared" si="13"/>
        <v>16045330.121730005</v>
      </c>
    </row>
    <row r="42" spans="1:8" s="1" customFormat="1" x14ac:dyDescent="0.35">
      <c r="A42" s="30" t="s">
        <v>64</v>
      </c>
      <c r="B42" s="30"/>
      <c r="C42" s="31">
        <f>+C36+C40</f>
        <v>0</v>
      </c>
      <c r="D42" s="31">
        <f>+D36+D40</f>
        <v>59938220.160000004</v>
      </c>
      <c r="E42" s="31">
        <f t="shared" ref="E42:H42" si="14">+E36+E40</f>
        <v>69643383.263999999</v>
      </c>
      <c r="F42" s="31">
        <f t="shared" si="14"/>
        <v>80200904.565600008</v>
      </c>
      <c r="G42" s="31">
        <f t="shared" si="14"/>
        <v>91592538.382800013</v>
      </c>
      <c r="H42" s="31">
        <f t="shared" si="14"/>
        <v>96271980.730380028</v>
      </c>
    </row>
    <row r="43" spans="1:8" x14ac:dyDescent="0.35">
      <c r="A43" s="32" t="s">
        <v>65</v>
      </c>
      <c r="B43" s="32"/>
      <c r="C43" s="33"/>
      <c r="D43" s="33"/>
      <c r="E43" s="34">
        <f>E42/D42-1</f>
        <v>0.16191944101931766</v>
      </c>
      <c r="F43" s="34">
        <f t="shared" ref="F43:H43" si="15">F42/E42-1</f>
        <v>0.15159403243778646</v>
      </c>
      <c r="G43" s="34">
        <f t="shared" si="15"/>
        <v>0.14203871987356775</v>
      </c>
      <c r="H43" s="34">
        <f t="shared" si="15"/>
        <v>5.108977685521543E-2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EECC-7E1F-4496-A85A-CDD14392B164}">
  <sheetPr codeName="Sheet4"/>
  <dimension ref="A1:H42"/>
  <sheetViews>
    <sheetView showGridLines="0" workbookViewId="0"/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8" x14ac:dyDescent="0.35">
      <c r="A3" s="1" t="s">
        <v>66</v>
      </c>
    </row>
    <row r="4" spans="1:8" x14ac:dyDescent="0.35">
      <c r="A4" t="s">
        <v>42</v>
      </c>
      <c r="C4" s="12">
        <f>+Revenue!C36</f>
        <v>0</v>
      </c>
      <c r="D4" s="12">
        <f>+Revenue!D36</f>
        <v>49948516.800000004</v>
      </c>
      <c r="E4" s="12">
        <f>+Revenue!E36</f>
        <v>58036152.719999999</v>
      </c>
      <c r="F4" s="12">
        <f>+Revenue!F36</f>
        <v>66834087.138000011</v>
      </c>
      <c r="G4" s="12">
        <f>+Revenue!G36</f>
        <v>76327115.319000006</v>
      </c>
      <c r="H4" s="12">
        <f>+Revenue!H36</f>
        <v>80226650.608650029</v>
      </c>
    </row>
    <row r="5" spans="1:8" x14ac:dyDescent="0.35">
      <c r="A5" t="s">
        <v>43</v>
      </c>
      <c r="C5" s="12">
        <f>+Revenue!C40</f>
        <v>0</v>
      </c>
      <c r="D5" s="12">
        <f>+Revenue!D40</f>
        <v>9989703.3600000013</v>
      </c>
      <c r="E5" s="12">
        <f>+Revenue!E40</f>
        <v>11607230.544</v>
      </c>
      <c r="F5" s="12">
        <f>+Revenue!F40</f>
        <v>13366817.4276</v>
      </c>
      <c r="G5" s="12">
        <f>+Revenue!G40</f>
        <v>15265423.063800003</v>
      </c>
      <c r="H5" s="12">
        <f>+Revenue!H40</f>
        <v>16045330.121730005</v>
      </c>
    </row>
    <row r="6" spans="1:8" x14ac:dyDescent="0.35">
      <c r="A6" s="30" t="s">
        <v>64</v>
      </c>
      <c r="B6" s="30"/>
      <c r="C6" s="31">
        <f>SUM(C4:C5)</f>
        <v>0</v>
      </c>
      <c r="D6" s="31">
        <f>SUM(D4:D5)</f>
        <v>59938220.160000004</v>
      </c>
      <c r="E6" s="31">
        <f t="shared" ref="E6:H6" si="1">SUM(E4:E5)</f>
        <v>69643383.263999999</v>
      </c>
      <c r="F6" s="31">
        <f t="shared" si="1"/>
        <v>80200904.565600008</v>
      </c>
      <c r="G6" s="31">
        <f t="shared" si="1"/>
        <v>91592538.382800013</v>
      </c>
      <c r="H6" s="31">
        <f t="shared" si="1"/>
        <v>96271980.730380028</v>
      </c>
    </row>
    <row r="8" spans="1:8" x14ac:dyDescent="0.35">
      <c r="A8" s="1" t="s">
        <v>67</v>
      </c>
    </row>
    <row r="9" spans="1:8" x14ac:dyDescent="0.35">
      <c r="A9" t="s">
        <v>68</v>
      </c>
      <c r="C9" s="12">
        <f>+C6*'Input Data'!$B$61</f>
        <v>0</v>
      </c>
      <c r="D9" s="12">
        <f>+D6*'Input Data'!$B$61</f>
        <v>21577759.257600002</v>
      </c>
      <c r="E9" s="12">
        <f>+E6*'Input Data'!$B$61</f>
        <v>25071617.97504</v>
      </c>
      <c r="F9" s="12">
        <f>+F6*'Input Data'!$B$61</f>
        <v>28872325.643616002</v>
      </c>
      <c r="G9" s="12">
        <f>+G6*'Input Data'!$B$61</f>
        <v>32973313.817808002</v>
      </c>
      <c r="H9" s="12">
        <f>+H6*'Input Data'!$B$61</f>
        <v>34657913.062936813</v>
      </c>
    </row>
    <row r="10" spans="1:8" x14ac:dyDescent="0.35">
      <c r="A10" t="s">
        <v>74</v>
      </c>
      <c r="C10" s="12">
        <f>+C5*'Input Data'!$B$64</f>
        <v>0</v>
      </c>
      <c r="D10" s="12">
        <f>+D5*'Input Data'!$B$64</f>
        <v>399588.13440000004</v>
      </c>
      <c r="E10" s="12">
        <f>+E5*'Input Data'!$B$64</f>
        <v>464289.22175999999</v>
      </c>
      <c r="F10" s="12">
        <f>+F5*'Input Data'!$B$64</f>
        <v>534672.69710400002</v>
      </c>
      <c r="G10" s="12">
        <f>+G5*'Input Data'!$B$64</f>
        <v>610616.92255200015</v>
      </c>
      <c r="H10" s="12">
        <f>+H5*'Input Data'!$B$64</f>
        <v>641813.20486920024</v>
      </c>
    </row>
    <row r="11" spans="1:8" x14ac:dyDescent="0.35">
      <c r="A11" s="13" t="s">
        <v>71</v>
      </c>
      <c r="B11" s="13"/>
      <c r="C11" s="14">
        <f>+C9+C10</f>
        <v>0</v>
      </c>
      <c r="D11" s="14">
        <f>+D9+D10</f>
        <v>21977347.392000001</v>
      </c>
      <c r="E11" s="14">
        <f t="shared" ref="E11:H11" si="2">+E9+E10</f>
        <v>25535907.196800001</v>
      </c>
      <c r="F11" s="14">
        <f t="shared" si="2"/>
        <v>29406998.340720002</v>
      </c>
      <c r="G11" s="14">
        <f t="shared" si="2"/>
        <v>33583930.740359999</v>
      </c>
      <c r="H11" s="14">
        <f t="shared" si="2"/>
        <v>35299726.267806016</v>
      </c>
    </row>
    <row r="12" spans="1:8" x14ac:dyDescent="0.35">
      <c r="A12" s="1" t="s">
        <v>75</v>
      </c>
      <c r="B12" s="1"/>
      <c r="C12" s="18">
        <f>+C6-C11</f>
        <v>0</v>
      </c>
      <c r="D12" s="18">
        <f>+D6-D11</f>
        <v>37960872.768000007</v>
      </c>
      <c r="E12" s="18">
        <f t="shared" ref="E12:H12" si="3">+E6-E11</f>
        <v>44107476.067199998</v>
      </c>
      <c r="F12" s="18">
        <f t="shared" si="3"/>
        <v>50793906.22488001</v>
      </c>
      <c r="G12" s="18">
        <f t="shared" si="3"/>
        <v>58008607.642440014</v>
      </c>
      <c r="H12" s="18">
        <f t="shared" si="3"/>
        <v>60972254.462574013</v>
      </c>
    </row>
    <row r="13" spans="1:8" x14ac:dyDescent="0.35">
      <c r="A13" s="32" t="s">
        <v>76</v>
      </c>
      <c r="B13" s="32"/>
      <c r="C13" s="37"/>
      <c r="D13" s="37">
        <f>+D12/D6</f>
        <v>0.63333333333333341</v>
      </c>
      <c r="E13" s="37">
        <f t="shared" ref="E13:H13" si="4">+E12/E6</f>
        <v>0.6333333333333333</v>
      </c>
      <c r="F13" s="37">
        <f t="shared" si="4"/>
        <v>0.63333333333333341</v>
      </c>
      <c r="G13" s="37">
        <f t="shared" si="4"/>
        <v>0.63333333333333341</v>
      </c>
      <c r="H13" s="37">
        <f t="shared" si="4"/>
        <v>0.6333333333333333</v>
      </c>
    </row>
    <row r="14" spans="1:8" x14ac:dyDescent="0.35">
      <c r="A14" s="1"/>
    </row>
    <row r="15" spans="1:8" x14ac:dyDescent="0.35">
      <c r="A15" s="1" t="s">
        <v>69</v>
      </c>
    </row>
    <row r="16" spans="1:8" x14ac:dyDescent="0.35">
      <c r="A16" t="s">
        <v>70</v>
      </c>
      <c r="C16" s="12">
        <f>+C6*'Input Data'!$B$62</f>
        <v>0</v>
      </c>
      <c r="D16" s="12">
        <f>+D6*'Input Data'!$B$62</f>
        <v>4795057.6128000002</v>
      </c>
      <c r="E16" s="12">
        <f>+E6*'Input Data'!$B$62</f>
        <v>5571470.6611200003</v>
      </c>
      <c r="F16" s="12">
        <f>+F6*'Input Data'!$B$62</f>
        <v>6416072.3652480012</v>
      </c>
      <c r="G16" s="12">
        <f>+G6*'Input Data'!$B$62</f>
        <v>7327403.0706240013</v>
      </c>
      <c r="H16" s="12">
        <f>+H6*'Input Data'!$B$62</f>
        <v>7701758.458430402</v>
      </c>
    </row>
    <row r="17" spans="1:8" x14ac:dyDescent="0.35">
      <c r="A17" t="s">
        <v>164</v>
      </c>
      <c r="C17" s="12">
        <f>+C6*'Input Data'!$B$63</f>
        <v>0</v>
      </c>
      <c r="D17" s="12">
        <f>+D6*'Input Data'!$B$63</f>
        <v>3596293.2096000002</v>
      </c>
      <c r="E17" s="12">
        <f>+E6*'Input Data'!$B$63</f>
        <v>4178602.99584</v>
      </c>
      <c r="F17" s="12">
        <f>+F6*'Input Data'!$B$63</f>
        <v>4812054.2739360007</v>
      </c>
      <c r="G17" s="12">
        <f>+G6*'Input Data'!$B$63</f>
        <v>5495552.302968001</v>
      </c>
      <c r="H17" s="12">
        <f>+H6*'Input Data'!$B$63</f>
        <v>5776318.8438228015</v>
      </c>
    </row>
    <row r="18" spans="1:8" x14ac:dyDescent="0.35">
      <c r="A18" t="s">
        <v>163</v>
      </c>
      <c r="C18" s="12">
        <f>IF(C$2&gt;'Input Data'!$A$15,MAX(B18*(1+'Input Data'!$B65),'Input Data'!$B55),0)</f>
        <v>0</v>
      </c>
      <c r="D18" s="12">
        <f>IF(D$2&gt;'Input Data'!B15,MAX(C18*(1+'Input Data'!$B65),'Input Data'!$B55),0)</f>
        <v>2400000</v>
      </c>
      <c r="E18" s="12">
        <f>IF(E$2&gt;'Input Data'!C15,MAX(D18*(1+'Input Data'!$B65),'Input Data'!$B55),0)</f>
        <v>2520000</v>
      </c>
      <c r="F18" s="12">
        <f>IF(F$2&gt;'Input Data'!D15,MAX(E18*(1+'Input Data'!$B65),'Input Data'!$B55),0)</f>
        <v>2646000</v>
      </c>
      <c r="G18" s="12">
        <f>IF(G$2&gt;'Input Data'!E15,MAX(F18*(1+'Input Data'!$B65),'Input Data'!$B55),0)</f>
        <v>2778300</v>
      </c>
      <c r="H18" s="12">
        <f>IF(H$2&gt;'Input Data'!F15,MAX(G18*(1+'Input Data'!$B65),'Input Data'!$B55),0)</f>
        <v>2917215</v>
      </c>
    </row>
    <row r="19" spans="1:8" x14ac:dyDescent="0.35">
      <c r="A19" t="s">
        <v>78</v>
      </c>
      <c r="C19" s="12">
        <f>IF(C$2&gt;'Input Data'!$A$15,MAX(B19*(1+'Input Data'!$B66),'Input Data'!$B56),0)</f>
        <v>0</v>
      </c>
      <c r="D19" s="12">
        <f>IF(D$2&gt;'Input Data'!B16,MAX(C19*(1+'Input Data'!$B66),'Input Data'!$B56),0)</f>
        <v>1200000</v>
      </c>
      <c r="E19" s="12">
        <f>IF(E$2&gt;'Input Data'!C16,MAX(D19*(1+'Input Data'!$B66),'Input Data'!$B56),0)</f>
        <v>1224000</v>
      </c>
      <c r="F19" s="12">
        <f>IF(F$2&gt;'Input Data'!D16,MAX(E19*(1+'Input Data'!$B66),'Input Data'!$B56),0)</f>
        <v>1248480</v>
      </c>
      <c r="G19" s="12">
        <f>IF(G$2&gt;'Input Data'!E16,MAX(F19*(1+'Input Data'!$B66),'Input Data'!$B56),0)</f>
        <v>1273449.6000000001</v>
      </c>
      <c r="H19" s="12">
        <f>IF(H$2&gt;'Input Data'!F16,MAX(G19*(1+'Input Data'!$B66),'Input Data'!$B56),0)</f>
        <v>1298918.5920000002</v>
      </c>
    </row>
    <row r="20" spans="1:8" x14ac:dyDescent="0.35">
      <c r="A20" t="s">
        <v>84</v>
      </c>
      <c r="C20" s="12">
        <f>IF(C$2&gt;'Input Data'!$A$15,MAX(B20*(1+'Input Data'!$B67),'Input Data'!$B57),0)</f>
        <v>0</v>
      </c>
      <c r="D20" s="12">
        <f>IF(D$2&gt;'Input Data'!B17,MAX(C20*(1+'Input Data'!$B67),'Input Data'!$B57),0)</f>
        <v>600000</v>
      </c>
      <c r="E20" s="12">
        <f>IF(E$2&gt;'Input Data'!C17,MAX(D20*(1+'Input Data'!$B67),'Input Data'!$B57),0)</f>
        <v>618000</v>
      </c>
      <c r="F20" s="12">
        <f>IF(F$2&gt;'Input Data'!D17,MAX(E20*(1+'Input Data'!$B67),'Input Data'!$B57),0)</f>
        <v>636540</v>
      </c>
      <c r="G20" s="12">
        <f>IF(G$2&gt;'Input Data'!E17,MAX(F20*(1+'Input Data'!$B67),'Input Data'!$B57),0)</f>
        <v>655636.20000000007</v>
      </c>
      <c r="H20" s="12">
        <f>IF(H$2&gt;'Input Data'!F17,MAX(G20*(1+'Input Data'!$B67),'Input Data'!$B57),0)</f>
        <v>675305.28600000008</v>
      </c>
    </row>
    <row r="21" spans="1:8" x14ac:dyDescent="0.35">
      <c r="A21" t="s">
        <v>79</v>
      </c>
    </row>
    <row r="22" spans="1:8" x14ac:dyDescent="0.35">
      <c r="A22" s="38" t="s">
        <v>80</v>
      </c>
      <c r="C22" s="12">
        <f>IF(C$2&gt;'Input Data'!$B$15,'Input Data'!C69*'Input Data'!C74*'Input Data'!$B$79,0)</f>
        <v>0</v>
      </c>
      <c r="D22" s="12">
        <f>IF(D$2&gt;'Input Data'!$B$15,'Input Data'!D69*'Input Data'!D74*'Input Data'!$B$79,0)</f>
        <v>960000</v>
      </c>
      <c r="E22" s="12">
        <f>IF(E$2&gt;'Input Data'!$B$15,'Input Data'!E69*'Input Data'!E74*'Input Data'!$B$79,0)</f>
        <v>1512000</v>
      </c>
      <c r="F22" s="12">
        <f>IF(F$2&gt;'Input Data'!$B$15,'Input Data'!F69*'Input Data'!F74*'Input Data'!$B$79,0)</f>
        <v>2116800</v>
      </c>
      <c r="G22" s="12">
        <f>IF(G$2&gt;'Input Data'!$B$15,'Input Data'!G69*'Input Data'!G74*'Input Data'!$B$79,0)</f>
        <v>2778000</v>
      </c>
      <c r="H22" s="12">
        <f>IF(H$2&gt;'Input Data'!$B$15,'Input Data'!H69*'Input Data'!H74*'Input Data'!$B$79,0)</f>
        <v>2917220</v>
      </c>
    </row>
    <row r="23" spans="1:8" x14ac:dyDescent="0.35">
      <c r="A23" s="38" t="s">
        <v>81</v>
      </c>
      <c r="C23" s="12">
        <f>IF(C$2&gt;'Input Data'!$B$15,'Input Data'!C70*'Input Data'!C75*'Input Data'!$B$79,0)</f>
        <v>0</v>
      </c>
      <c r="D23" s="12">
        <f>IF(D$2&gt;'Input Data'!$B$15,'Input Data'!D70*'Input Data'!D75*'Input Data'!$B$79,0)</f>
        <v>11520000</v>
      </c>
      <c r="E23" s="12">
        <f>IF(E$2&gt;'Input Data'!$B$15,'Input Data'!E70*'Input Data'!E75*'Input Data'!$B$79,0)</f>
        <v>15408000</v>
      </c>
      <c r="F23" s="12">
        <f>IF(F$2&gt;'Input Data'!$B$15,'Input Data'!F70*'Input Data'!F75*'Input Data'!$B$79,0)</f>
        <v>16486560</v>
      </c>
      <c r="G23" s="12">
        <f>IF(G$2&gt;'Input Data'!$B$15,'Input Data'!G70*'Input Data'!G75*'Input Data'!$B$79,0)</f>
        <v>21264240</v>
      </c>
      <c r="H23" s="12">
        <f>IF(H$2&gt;'Input Data'!$B$15,'Input Data'!H70*'Input Data'!H75*'Input Data'!$B$79,0)</f>
        <v>22650576</v>
      </c>
    </row>
    <row r="24" spans="1:8" x14ac:dyDescent="0.35">
      <c r="A24" s="38" t="s">
        <v>82</v>
      </c>
      <c r="C24" s="12">
        <f>IF(C$2&gt;'Input Data'!$B$15,'Input Data'!C71*'Input Data'!C76*'Input Data'!$B$79,0)</f>
        <v>0</v>
      </c>
      <c r="D24" s="12">
        <f>IF(D$2&gt;'Input Data'!$B$15,'Input Data'!D71*'Input Data'!D76*'Input Data'!$B$79,0)</f>
        <v>1440000</v>
      </c>
      <c r="E24" s="12">
        <f>IF(E$2&gt;'Input Data'!$B$15,'Input Data'!E71*'Input Data'!E76*'Input Data'!$B$79,0)</f>
        <v>1540800</v>
      </c>
      <c r="F24" s="12">
        <f>IF(F$2&gt;'Input Data'!$B$15,'Input Data'!F71*'Input Data'!F76*'Input Data'!$B$79,0)</f>
        <v>1648656</v>
      </c>
      <c r="G24" s="12">
        <f>IF(G$2&gt;'Input Data'!$B$15,'Input Data'!G71*'Input Data'!G76*'Input Data'!$B$79,0)</f>
        <v>1766022</v>
      </c>
      <c r="H24" s="12">
        <f>IF(H$2&gt;'Input Data'!$B$15,'Input Data'!H71*'Input Data'!H76*'Input Data'!$B$79,0)</f>
        <v>1887546</v>
      </c>
    </row>
    <row r="25" spans="1:8" x14ac:dyDescent="0.35">
      <c r="A25" s="38" t="s">
        <v>83</v>
      </c>
      <c r="C25" s="12">
        <f>IF(C$2&gt;'Input Data'!$B$15,'Input Data'!C72*'Input Data'!C77*'Input Data'!$B$79,0)</f>
        <v>0</v>
      </c>
      <c r="D25" s="12">
        <f>IF(D$2&gt;'Input Data'!$B$15,'Input Data'!D72*'Input Data'!D77*'Input Data'!$B$79,0)</f>
        <v>2000000</v>
      </c>
      <c r="E25" s="12">
        <f>IF(E$2&gt;'Input Data'!$B$15,'Input Data'!E72*'Input Data'!E77*'Input Data'!$B$79,0)</f>
        <v>2140000</v>
      </c>
      <c r="F25" s="12">
        <f>IF(F$2&gt;'Input Data'!$B$15,'Input Data'!F72*'Input Data'!F77*'Input Data'!$B$79,0)</f>
        <v>2289800</v>
      </c>
      <c r="G25" s="12">
        <f>IF(G$2&gt;'Input Data'!$B$15,'Input Data'!G72*'Input Data'!G77*'Input Data'!$B$79,0)</f>
        <v>2450086</v>
      </c>
      <c r="H25" s="12">
        <f>IF(H$2&gt;'Input Data'!$B$15,'Input Data'!H72*'Input Data'!H77*'Input Data'!$B$79,0)</f>
        <v>2641592</v>
      </c>
    </row>
    <row r="26" spans="1:8" x14ac:dyDescent="0.35">
      <c r="A26" s="13" t="s">
        <v>77</v>
      </c>
      <c r="B26" s="15"/>
      <c r="C26" s="14">
        <f>SUM(C16:C25)</f>
        <v>0</v>
      </c>
      <c r="D26" s="14">
        <f>SUM(D16:D25)</f>
        <v>28511350.8224</v>
      </c>
      <c r="E26" s="14">
        <f t="shared" ref="E26:H26" si="5">SUM(E16:E25)</f>
        <v>34712873.656959996</v>
      </c>
      <c r="F26" s="14">
        <f t="shared" si="5"/>
        <v>38300962.639183998</v>
      </c>
      <c r="G26" s="14">
        <f t="shared" si="5"/>
        <v>45788689.173592001</v>
      </c>
      <c r="H26" s="14">
        <f t="shared" si="5"/>
        <v>48466450.1802532</v>
      </c>
    </row>
    <row r="28" spans="1:8" x14ac:dyDescent="0.35">
      <c r="A28" s="41" t="s">
        <v>146</v>
      </c>
      <c r="D28" s="18">
        <f>+D12-D26</f>
        <v>9449521.9456000067</v>
      </c>
      <c r="E28" s="18">
        <f t="shared" ref="E28:H28" si="6">+E12-E26</f>
        <v>9394602.410240002</v>
      </c>
      <c r="F28" s="18">
        <f t="shared" si="6"/>
        <v>12492943.585696012</v>
      </c>
      <c r="G28" s="18">
        <f t="shared" si="6"/>
        <v>12219918.468848012</v>
      </c>
      <c r="H28" s="18">
        <f t="shared" si="6"/>
        <v>12505804.282320812</v>
      </c>
    </row>
    <row r="29" spans="1:8" x14ac:dyDescent="0.35">
      <c r="A29" s="42" t="s">
        <v>174</v>
      </c>
      <c r="B29" s="35"/>
      <c r="C29" s="36"/>
      <c r="D29" s="43">
        <f>+D28/D6</f>
        <v>0.15765436344915329</v>
      </c>
      <c r="E29" s="43">
        <f t="shared" ref="E29:H29" si="7">+E28/E6</f>
        <v>0.13489583604270777</v>
      </c>
      <c r="F29" s="43">
        <f t="shared" si="7"/>
        <v>0.1557706069945565</v>
      </c>
      <c r="G29" s="43">
        <f t="shared" si="7"/>
        <v>0.13341609136080856</v>
      </c>
      <c r="H29" s="43">
        <f t="shared" si="7"/>
        <v>0.12990076850443799</v>
      </c>
    </row>
    <row r="30" spans="1:8" x14ac:dyDescent="0.35">
      <c r="A30" s="1" t="s">
        <v>32</v>
      </c>
    </row>
    <row r="31" spans="1:8" x14ac:dyDescent="0.35">
      <c r="A31" t="str">
        <f>'Fixed Assets'!A11</f>
        <v>Depreciation on Franchise</v>
      </c>
      <c r="D31" s="12">
        <f>'Fixed Assets'!D11</f>
        <v>150000</v>
      </c>
      <c r="E31" s="12">
        <f>'Fixed Assets'!E11</f>
        <v>150000</v>
      </c>
      <c r="F31" s="12">
        <f>'Fixed Assets'!F11</f>
        <v>150000</v>
      </c>
      <c r="G31" s="12">
        <f>'Fixed Assets'!G11</f>
        <v>150000</v>
      </c>
      <c r="H31" s="12">
        <f>'Fixed Assets'!H11</f>
        <v>150000</v>
      </c>
    </row>
    <row r="32" spans="1:8" x14ac:dyDescent="0.35">
      <c r="A32" t="str">
        <f>'Fixed Assets'!A21</f>
        <v>Depreciation on Furniture's</v>
      </c>
      <c r="D32" s="12">
        <f>'Fixed Assets'!D21</f>
        <v>110000</v>
      </c>
      <c r="E32" s="12">
        <f>'Fixed Assets'!E21</f>
        <v>110000</v>
      </c>
      <c r="F32" s="12">
        <f>'Fixed Assets'!F21</f>
        <v>110000</v>
      </c>
      <c r="G32" s="12">
        <f>'Fixed Assets'!G21</f>
        <v>110000</v>
      </c>
      <c r="H32" s="12">
        <f>'Fixed Assets'!H21</f>
        <v>110000</v>
      </c>
    </row>
    <row r="33" spans="1:8" x14ac:dyDescent="0.35">
      <c r="A33" t="str">
        <f>'Fixed Assets'!A31</f>
        <v>Depreciation on Development</v>
      </c>
      <c r="D33" s="12">
        <f>'Fixed Assets'!D31</f>
        <v>500000</v>
      </c>
      <c r="E33" s="12">
        <f>'Fixed Assets'!E31</f>
        <v>500000</v>
      </c>
      <c r="F33" s="12">
        <f>'Fixed Assets'!F31</f>
        <v>500000</v>
      </c>
      <c r="G33" s="12">
        <f>'Fixed Assets'!G31</f>
        <v>500000</v>
      </c>
      <c r="H33" s="12">
        <f>'Fixed Assets'!H31</f>
        <v>500000</v>
      </c>
    </row>
    <row r="34" spans="1:8" x14ac:dyDescent="0.35">
      <c r="A34" t="str">
        <f>'Fixed Assets'!A41</f>
        <v>Depreciation on Interior</v>
      </c>
      <c r="D34" s="12">
        <f>'Fixed Assets'!D41</f>
        <v>200000</v>
      </c>
      <c r="E34" s="12">
        <f>'Fixed Assets'!E41</f>
        <v>200000</v>
      </c>
      <c r="F34" s="12">
        <f>'Fixed Assets'!F41</f>
        <v>200000</v>
      </c>
      <c r="G34" s="12">
        <f>'Fixed Assets'!G41</f>
        <v>200000</v>
      </c>
      <c r="H34" s="12">
        <f>'Fixed Assets'!H41</f>
        <v>200000</v>
      </c>
    </row>
    <row r="35" spans="1:8" x14ac:dyDescent="0.35">
      <c r="A35" t="str">
        <f>'Fixed Assets'!A51</f>
        <v>Depreciation on Civil work</v>
      </c>
      <c r="D35" s="12">
        <f>'Fixed Assets'!D51</f>
        <v>100000</v>
      </c>
      <c r="E35" s="12">
        <f>'Fixed Assets'!E51</f>
        <v>100000</v>
      </c>
      <c r="F35" s="12">
        <f>'Fixed Assets'!F51</f>
        <v>100000</v>
      </c>
      <c r="G35" s="12">
        <f>'Fixed Assets'!G51</f>
        <v>100000</v>
      </c>
      <c r="H35" s="12">
        <f>'Fixed Assets'!H51</f>
        <v>100000</v>
      </c>
    </row>
    <row r="36" spans="1:8" x14ac:dyDescent="0.35">
      <c r="A36" t="str">
        <f>'Fixed Assets'!A61</f>
        <v>Depreciation on Machinery</v>
      </c>
      <c r="D36" s="12">
        <f>'Fixed Assets'!D61</f>
        <v>525000</v>
      </c>
      <c r="E36" s="12">
        <f>'Fixed Assets'!E61</f>
        <v>525000</v>
      </c>
      <c r="F36" s="12">
        <f>'Fixed Assets'!F61</f>
        <v>525000</v>
      </c>
      <c r="G36" s="12">
        <f>'Fixed Assets'!G61</f>
        <v>525000</v>
      </c>
      <c r="H36" s="12">
        <f>'Fixed Assets'!H61</f>
        <v>525000</v>
      </c>
    </row>
    <row r="37" spans="1:8" x14ac:dyDescent="0.35">
      <c r="A37" s="1" t="s">
        <v>145</v>
      </c>
      <c r="D37" s="18">
        <f>+D28-SUM(D31:D36)</f>
        <v>7864521.9456000067</v>
      </c>
      <c r="E37" s="18">
        <f t="shared" ref="E37:H37" si="8">+E28-SUM(E31:E36)</f>
        <v>7809602.410240002</v>
      </c>
      <c r="F37" s="18">
        <f t="shared" si="8"/>
        <v>10907943.585696012</v>
      </c>
      <c r="G37" s="18">
        <f t="shared" si="8"/>
        <v>10634918.468848012</v>
      </c>
      <c r="H37" s="18">
        <f t="shared" si="8"/>
        <v>10920804.282320812</v>
      </c>
    </row>
    <row r="38" spans="1:8" x14ac:dyDescent="0.35">
      <c r="A38" t="s">
        <v>88</v>
      </c>
    </row>
    <row r="39" spans="1:8" x14ac:dyDescent="0.35">
      <c r="A39" t="s">
        <v>89</v>
      </c>
      <c r="D39" s="12">
        <f>+D37-D38</f>
        <v>7864521.9456000067</v>
      </c>
      <c r="E39" s="12">
        <f t="shared" ref="E39:H39" si="9">+E37-E38</f>
        <v>7809602.410240002</v>
      </c>
      <c r="F39" s="12">
        <f t="shared" si="9"/>
        <v>10907943.585696012</v>
      </c>
      <c r="G39" s="12">
        <f t="shared" si="9"/>
        <v>10634918.468848012</v>
      </c>
      <c r="H39" s="12">
        <f t="shared" si="9"/>
        <v>10920804.282320812</v>
      </c>
    </row>
    <row r="40" spans="1:8" x14ac:dyDescent="0.35">
      <c r="A40" t="s">
        <v>24</v>
      </c>
      <c r="C40" s="12">
        <f>C39*'Input Data'!$B$12</f>
        <v>0</v>
      </c>
      <c r="D40" s="12">
        <f>D39*'Input Data'!$B$12</f>
        <v>1979500.173707522</v>
      </c>
      <c r="E40" s="12">
        <f>E39*'Input Data'!$B$12</f>
        <v>1965676.9266574087</v>
      </c>
      <c r="F40" s="12">
        <f>F39*'Input Data'!$B$12</f>
        <v>2745529.4005196868</v>
      </c>
      <c r="G40" s="12">
        <f>G39*'Input Data'!$B$12</f>
        <v>2676808.978609045</v>
      </c>
      <c r="H40" s="12">
        <f>H39*'Input Data'!$B$12</f>
        <v>2748766.437860149</v>
      </c>
    </row>
    <row r="41" spans="1:8" x14ac:dyDescent="0.35">
      <c r="A41" s="30" t="s">
        <v>90</v>
      </c>
      <c r="B41" s="30"/>
      <c r="C41" s="31"/>
      <c r="D41" s="31">
        <f>+D39-D40</f>
        <v>5885021.7718924843</v>
      </c>
      <c r="E41" s="31">
        <f t="shared" ref="E41:H41" si="10">+E39-E40</f>
        <v>5843925.4835825935</v>
      </c>
      <c r="F41" s="31">
        <f t="shared" si="10"/>
        <v>8162414.185176325</v>
      </c>
      <c r="G41" s="31">
        <f t="shared" si="10"/>
        <v>7958109.4902389674</v>
      </c>
      <c r="H41" s="31">
        <f t="shared" si="10"/>
        <v>8172037.8444606634</v>
      </c>
    </row>
    <row r="42" spans="1:8" x14ac:dyDescent="0.35">
      <c r="A42" s="44" t="s">
        <v>174</v>
      </c>
      <c r="D42" s="40">
        <f>+D41/D6</f>
        <v>9.8184793545469273E-2</v>
      </c>
      <c r="E42" s="40">
        <f>+E41/E6</f>
        <v>8.3912142255205893E-2</v>
      </c>
      <c r="F42" s="40">
        <f>+F41/F6</f>
        <v>0.10177459006712214</v>
      </c>
      <c r="G42" s="40">
        <f>+G41/G6</f>
        <v>8.6886002186979519E-2</v>
      </c>
      <c r="H42" s="40">
        <f>+H41/H6</f>
        <v>8.4884904023605046E-2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8685-F891-4BAC-84D9-4E1695DC6A24}">
  <sheetPr codeName="Sheet5"/>
  <dimension ref="A1:H61"/>
  <sheetViews>
    <sheetView showGridLines="0" workbookViewId="0"/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8" x14ac:dyDescent="0.35">
      <c r="A3" s="45" t="s">
        <v>91</v>
      </c>
    </row>
    <row r="4" spans="1:8" x14ac:dyDescent="0.35">
      <c r="A4" t="s">
        <v>92</v>
      </c>
      <c r="C4" s="12">
        <f>+B7</f>
        <v>0</v>
      </c>
      <c r="D4" s="12">
        <f t="shared" ref="D4:H4" si="1">+C7</f>
        <v>0</v>
      </c>
      <c r="E4" s="12">
        <f t="shared" si="1"/>
        <v>3000000</v>
      </c>
      <c r="F4" s="12">
        <f t="shared" si="1"/>
        <v>3000000</v>
      </c>
      <c r="G4" s="12">
        <f t="shared" si="1"/>
        <v>3000000</v>
      </c>
      <c r="H4" s="12">
        <f t="shared" si="1"/>
        <v>3000000</v>
      </c>
    </row>
    <row r="5" spans="1:8" x14ac:dyDescent="0.35">
      <c r="A5" t="s">
        <v>93</v>
      </c>
      <c r="C5" s="12">
        <v>0</v>
      </c>
      <c r="D5" s="12">
        <f>+'Input Data'!B18</f>
        <v>3000000</v>
      </c>
    </row>
    <row r="6" spans="1:8" x14ac:dyDescent="0.35">
      <c r="A6" t="s">
        <v>94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35">
      <c r="A7" s="13" t="s">
        <v>95</v>
      </c>
      <c r="B7" s="15"/>
      <c r="C7" s="16">
        <f>+C4+C5-C6</f>
        <v>0</v>
      </c>
      <c r="D7" s="16">
        <f t="shared" ref="D7:H7" si="2">+D4+D5-D6</f>
        <v>3000000</v>
      </c>
      <c r="E7" s="16">
        <f t="shared" si="2"/>
        <v>3000000</v>
      </c>
      <c r="F7" s="16">
        <f t="shared" si="2"/>
        <v>3000000</v>
      </c>
      <c r="G7" s="16">
        <f t="shared" si="2"/>
        <v>3000000</v>
      </c>
      <c r="H7" s="16">
        <f t="shared" si="2"/>
        <v>3000000</v>
      </c>
    </row>
    <row r="8" spans="1:8" x14ac:dyDescent="0.35">
      <c r="A8" t="s">
        <v>172</v>
      </c>
      <c r="C8" s="12">
        <f>C7*'Input Data'!$B$27+'Fixed Assets'!B8</f>
        <v>0</v>
      </c>
      <c r="D8" s="12">
        <f>D7*'Input Data'!$B$27+'Fixed Assets'!C8</f>
        <v>150000</v>
      </c>
      <c r="E8" s="12">
        <f>E7*'Input Data'!$B$27+'Fixed Assets'!D8</f>
        <v>300000</v>
      </c>
      <c r="F8" s="12">
        <f>F7*'Input Data'!$B$27+'Fixed Assets'!E8</f>
        <v>450000</v>
      </c>
      <c r="G8" s="12">
        <f>G7*'Input Data'!$B$27+'Fixed Assets'!F8</f>
        <v>600000</v>
      </c>
      <c r="H8" s="12">
        <f>H7*'Input Data'!$B$27+'Fixed Assets'!G8</f>
        <v>750000</v>
      </c>
    </row>
    <row r="9" spans="1:8" x14ac:dyDescent="0.35">
      <c r="A9" s="30" t="s">
        <v>96</v>
      </c>
      <c r="B9" s="35"/>
      <c r="C9" s="36">
        <f>+C7-C8</f>
        <v>0</v>
      </c>
      <c r="D9" s="36">
        <f t="shared" ref="D9:H9" si="3">+D7-D8</f>
        <v>2850000</v>
      </c>
      <c r="E9" s="36">
        <f t="shared" si="3"/>
        <v>2700000</v>
      </c>
      <c r="F9" s="36">
        <f t="shared" si="3"/>
        <v>2550000</v>
      </c>
      <c r="G9" s="36">
        <f t="shared" si="3"/>
        <v>2400000</v>
      </c>
      <c r="H9" s="36">
        <f t="shared" si="3"/>
        <v>2250000</v>
      </c>
    </row>
    <row r="11" spans="1:8" x14ac:dyDescent="0.35">
      <c r="A11" t="s">
        <v>97</v>
      </c>
      <c r="C11" s="12">
        <f>+C8-B8</f>
        <v>0</v>
      </c>
      <c r="D11" s="12">
        <f t="shared" ref="D11:H11" si="4">+D8-C8</f>
        <v>150000</v>
      </c>
      <c r="E11" s="12">
        <f t="shared" si="4"/>
        <v>150000</v>
      </c>
      <c r="F11" s="12">
        <f t="shared" si="4"/>
        <v>150000</v>
      </c>
      <c r="G11" s="12">
        <f t="shared" si="4"/>
        <v>150000</v>
      </c>
      <c r="H11" s="12">
        <f t="shared" si="4"/>
        <v>150000</v>
      </c>
    </row>
    <row r="13" spans="1:8" x14ac:dyDescent="0.35">
      <c r="A13" s="45" t="s">
        <v>162</v>
      </c>
    </row>
    <row r="14" spans="1:8" x14ac:dyDescent="0.35">
      <c r="A14" t="s">
        <v>92</v>
      </c>
      <c r="C14" s="12">
        <f>+B17</f>
        <v>0</v>
      </c>
      <c r="D14" s="12">
        <f t="shared" ref="D14:H14" si="5">+C17</f>
        <v>0</v>
      </c>
      <c r="E14" s="12">
        <f t="shared" si="5"/>
        <v>1100000</v>
      </c>
      <c r="F14" s="12">
        <f t="shared" si="5"/>
        <v>1100000</v>
      </c>
      <c r="G14" s="12">
        <f t="shared" si="5"/>
        <v>1100000</v>
      </c>
      <c r="H14" s="12">
        <f t="shared" si="5"/>
        <v>1100000</v>
      </c>
    </row>
    <row r="15" spans="1:8" x14ac:dyDescent="0.35">
      <c r="A15" t="s">
        <v>93</v>
      </c>
      <c r="D15" s="12">
        <f>+'Input Data'!B19</f>
        <v>1100000</v>
      </c>
    </row>
    <row r="16" spans="1:8" x14ac:dyDescent="0.35">
      <c r="A16" t="s">
        <v>102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</row>
    <row r="17" spans="1:8" x14ac:dyDescent="0.35">
      <c r="A17" s="13" t="s">
        <v>95</v>
      </c>
      <c r="B17" s="15"/>
      <c r="C17" s="16">
        <f>+C14+C15-C16</f>
        <v>0</v>
      </c>
      <c r="D17" s="16">
        <f t="shared" ref="D17" si="6">+D14+D15-D16</f>
        <v>1100000</v>
      </c>
      <c r="E17" s="16">
        <f t="shared" ref="E17" si="7">+E14+E15-E16</f>
        <v>1100000</v>
      </c>
      <c r="F17" s="16">
        <f t="shared" ref="F17" si="8">+F14+F15-F16</f>
        <v>1100000</v>
      </c>
      <c r="G17" s="16">
        <f t="shared" ref="G17" si="9">+G14+G15-G16</f>
        <v>1100000</v>
      </c>
      <c r="H17" s="16">
        <f t="shared" ref="H17" si="10">+H14+H15-H16</f>
        <v>1100000</v>
      </c>
    </row>
    <row r="18" spans="1:8" x14ac:dyDescent="0.35">
      <c r="A18" t="s">
        <v>172</v>
      </c>
      <c r="C18" s="12">
        <f>+C17*10%</f>
        <v>0</v>
      </c>
      <c r="D18" s="12">
        <f>D17*'Input Data'!$B$28+'Fixed Assets'!C18</f>
        <v>110000</v>
      </c>
      <c r="E18" s="12">
        <f>E17*'Input Data'!$B$28+'Fixed Assets'!D18</f>
        <v>220000</v>
      </c>
      <c r="F18" s="12">
        <f>F17*'Input Data'!$B$28+'Fixed Assets'!E18</f>
        <v>330000</v>
      </c>
      <c r="G18" s="12">
        <f>G17*'Input Data'!$B$28+'Fixed Assets'!F18</f>
        <v>440000</v>
      </c>
      <c r="H18" s="12">
        <f>H17*'Input Data'!$B$28+'Fixed Assets'!G18</f>
        <v>550000</v>
      </c>
    </row>
    <row r="19" spans="1:8" x14ac:dyDescent="0.35">
      <c r="A19" s="30" t="s">
        <v>96</v>
      </c>
      <c r="B19" s="35"/>
      <c r="C19" s="36">
        <f>+C17-C18</f>
        <v>0</v>
      </c>
      <c r="D19" s="36">
        <f t="shared" ref="D19" si="11">+D17-D18</f>
        <v>990000</v>
      </c>
      <c r="E19" s="36">
        <f t="shared" ref="E19" si="12">+E17-E18</f>
        <v>880000</v>
      </c>
      <c r="F19" s="36">
        <f t="shared" ref="F19" si="13">+F17-F18</f>
        <v>770000</v>
      </c>
      <c r="G19" s="36">
        <f t="shared" ref="G19" si="14">+G17-G18</f>
        <v>660000</v>
      </c>
      <c r="H19" s="36">
        <f t="shared" ref="H19" si="15">+H17-H18</f>
        <v>550000</v>
      </c>
    </row>
    <row r="21" spans="1:8" x14ac:dyDescent="0.35">
      <c r="A21" t="s">
        <v>173</v>
      </c>
      <c r="C21" s="12">
        <f>+C18-B18</f>
        <v>0</v>
      </c>
      <c r="D21" s="12">
        <f t="shared" ref="D21:H21" si="16">+D18-C18</f>
        <v>110000</v>
      </c>
      <c r="E21" s="12">
        <f t="shared" si="16"/>
        <v>110000</v>
      </c>
      <c r="F21" s="12">
        <f t="shared" si="16"/>
        <v>110000</v>
      </c>
      <c r="G21" s="12">
        <f t="shared" si="16"/>
        <v>110000</v>
      </c>
      <c r="H21" s="12">
        <f t="shared" si="16"/>
        <v>110000</v>
      </c>
    </row>
    <row r="23" spans="1:8" x14ac:dyDescent="0.35">
      <c r="A23" s="45" t="s">
        <v>10</v>
      </c>
    </row>
    <row r="24" spans="1:8" x14ac:dyDescent="0.35">
      <c r="A24" t="s">
        <v>92</v>
      </c>
      <c r="C24" s="12">
        <f>+B27</f>
        <v>0</v>
      </c>
      <c r="D24" s="12">
        <f t="shared" ref="D24:H24" si="17">+C27</f>
        <v>0</v>
      </c>
      <c r="E24" s="12">
        <f t="shared" si="17"/>
        <v>5000000</v>
      </c>
      <c r="F24" s="12">
        <f t="shared" si="17"/>
        <v>5000000</v>
      </c>
      <c r="G24" s="12">
        <f t="shared" si="17"/>
        <v>5000000</v>
      </c>
      <c r="H24" s="12">
        <f t="shared" si="17"/>
        <v>5000000</v>
      </c>
    </row>
    <row r="25" spans="1:8" x14ac:dyDescent="0.35">
      <c r="A25" t="s">
        <v>93</v>
      </c>
      <c r="D25" s="12">
        <f>+'Input Data'!B20</f>
        <v>5000000</v>
      </c>
    </row>
    <row r="26" spans="1:8" x14ac:dyDescent="0.35">
      <c r="A26" t="s">
        <v>102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</row>
    <row r="27" spans="1:8" x14ac:dyDescent="0.35">
      <c r="A27" s="13" t="s">
        <v>95</v>
      </c>
      <c r="B27" s="15"/>
      <c r="C27" s="16">
        <f>+C24+C25-C26</f>
        <v>0</v>
      </c>
      <c r="D27" s="16">
        <f t="shared" ref="D27" si="18">+D24+D25-D26</f>
        <v>5000000</v>
      </c>
      <c r="E27" s="16">
        <f t="shared" ref="E27" si="19">+E24+E25-E26</f>
        <v>5000000</v>
      </c>
      <c r="F27" s="16">
        <f t="shared" ref="F27" si="20">+F24+F25-F26</f>
        <v>5000000</v>
      </c>
      <c r="G27" s="16">
        <f t="shared" ref="G27" si="21">+G24+G25-G26</f>
        <v>5000000</v>
      </c>
      <c r="H27" s="16">
        <f t="shared" ref="H27" si="22">+H24+H25-H26</f>
        <v>5000000</v>
      </c>
    </row>
    <row r="28" spans="1:8" x14ac:dyDescent="0.35">
      <c r="A28" t="s">
        <v>172</v>
      </c>
      <c r="C28" s="12">
        <f>+C27*10%</f>
        <v>0</v>
      </c>
      <c r="D28" s="12">
        <f>D27*'Input Data'!$B$29+'Fixed Assets'!C28</f>
        <v>500000</v>
      </c>
      <c r="E28" s="12">
        <f>E27*'Input Data'!$B$29+'Fixed Assets'!D28</f>
        <v>1000000</v>
      </c>
      <c r="F28" s="12">
        <f>F27*'Input Data'!$B$29+'Fixed Assets'!E28</f>
        <v>1500000</v>
      </c>
      <c r="G28" s="12">
        <f>G27*'Input Data'!$B$29+'Fixed Assets'!F28</f>
        <v>2000000</v>
      </c>
      <c r="H28" s="12">
        <f>H27*'Input Data'!$B$29+'Fixed Assets'!G28</f>
        <v>2500000</v>
      </c>
    </row>
    <row r="29" spans="1:8" x14ac:dyDescent="0.35">
      <c r="A29" s="30" t="s">
        <v>96</v>
      </c>
      <c r="B29" s="35"/>
      <c r="C29" s="36">
        <f>+C27-C28</f>
        <v>0</v>
      </c>
      <c r="D29" s="36">
        <f t="shared" ref="D29" si="23">+D27-D28</f>
        <v>4500000</v>
      </c>
      <c r="E29" s="36">
        <f t="shared" ref="E29" si="24">+E27-E28</f>
        <v>4000000</v>
      </c>
      <c r="F29" s="36">
        <f t="shared" ref="F29" si="25">+F27-F28</f>
        <v>3500000</v>
      </c>
      <c r="G29" s="36">
        <f t="shared" ref="G29" si="26">+G27-G28</f>
        <v>3000000</v>
      </c>
      <c r="H29" s="36">
        <f t="shared" ref="H29" si="27">+H27-H28</f>
        <v>2500000</v>
      </c>
    </row>
    <row r="31" spans="1:8" x14ac:dyDescent="0.35">
      <c r="A31" t="s">
        <v>98</v>
      </c>
      <c r="C31" s="12">
        <f>+C28-B28</f>
        <v>0</v>
      </c>
      <c r="D31" s="12">
        <f t="shared" ref="D31:H31" si="28">+D28-C28</f>
        <v>500000</v>
      </c>
      <c r="E31" s="12">
        <f t="shared" si="28"/>
        <v>500000</v>
      </c>
      <c r="F31" s="12">
        <f t="shared" si="28"/>
        <v>500000</v>
      </c>
      <c r="G31" s="12">
        <f t="shared" si="28"/>
        <v>500000</v>
      </c>
      <c r="H31" s="12">
        <f t="shared" si="28"/>
        <v>500000</v>
      </c>
    </row>
    <row r="33" spans="1:8" x14ac:dyDescent="0.35">
      <c r="A33" s="45" t="s">
        <v>11</v>
      </c>
    </row>
    <row r="34" spans="1:8" x14ac:dyDescent="0.35">
      <c r="A34" t="s">
        <v>92</v>
      </c>
      <c r="C34" s="12">
        <f>+B37</f>
        <v>0</v>
      </c>
      <c r="D34" s="12">
        <f t="shared" ref="D34:H34" si="29">+C37</f>
        <v>0</v>
      </c>
      <c r="E34" s="12">
        <f t="shared" si="29"/>
        <v>2000000</v>
      </c>
      <c r="F34" s="12">
        <f t="shared" si="29"/>
        <v>2000000</v>
      </c>
      <c r="G34" s="12">
        <f t="shared" si="29"/>
        <v>2000000</v>
      </c>
      <c r="H34" s="12">
        <f t="shared" si="29"/>
        <v>2000000</v>
      </c>
    </row>
    <row r="35" spans="1:8" x14ac:dyDescent="0.35">
      <c r="A35" t="s">
        <v>93</v>
      </c>
      <c r="D35" s="12">
        <f>+'Input Data'!B21</f>
        <v>2000000</v>
      </c>
    </row>
    <row r="36" spans="1:8" x14ac:dyDescent="0.35">
      <c r="A36" t="s">
        <v>102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</row>
    <row r="37" spans="1:8" x14ac:dyDescent="0.35">
      <c r="A37" s="13" t="s">
        <v>95</v>
      </c>
      <c r="B37" s="15"/>
      <c r="C37" s="16">
        <f>+C34+C35-C36</f>
        <v>0</v>
      </c>
      <c r="D37" s="16">
        <f t="shared" ref="D37" si="30">+D34+D35-D36</f>
        <v>2000000</v>
      </c>
      <c r="E37" s="16">
        <f t="shared" ref="E37" si="31">+E34+E35-E36</f>
        <v>2000000</v>
      </c>
      <c r="F37" s="16">
        <f t="shared" ref="F37" si="32">+F34+F35-F36</f>
        <v>2000000</v>
      </c>
      <c r="G37" s="16">
        <f t="shared" ref="G37" si="33">+G34+G35-G36</f>
        <v>2000000</v>
      </c>
      <c r="H37" s="16">
        <f t="shared" ref="H37" si="34">+H34+H35-H36</f>
        <v>2000000</v>
      </c>
    </row>
    <row r="38" spans="1:8" x14ac:dyDescent="0.35">
      <c r="A38" t="s">
        <v>172</v>
      </c>
      <c r="C38" s="12">
        <f>+C37*10%</f>
        <v>0</v>
      </c>
      <c r="D38" s="12">
        <f>+D37*'Input Data'!$B$30+'Fixed Assets'!C38</f>
        <v>200000</v>
      </c>
      <c r="E38" s="12">
        <f>+E37*'Input Data'!$B$30+'Fixed Assets'!D38</f>
        <v>400000</v>
      </c>
      <c r="F38" s="12">
        <f>+F37*'Input Data'!$B$30+'Fixed Assets'!E38</f>
        <v>600000</v>
      </c>
      <c r="G38" s="12">
        <f>+G37*'Input Data'!$B$30+'Fixed Assets'!F38</f>
        <v>800000</v>
      </c>
      <c r="H38" s="12">
        <f>+H37*'Input Data'!$B$30+'Fixed Assets'!G38</f>
        <v>1000000</v>
      </c>
    </row>
    <row r="39" spans="1:8" x14ac:dyDescent="0.35">
      <c r="A39" s="30" t="s">
        <v>96</v>
      </c>
      <c r="B39" s="35"/>
      <c r="C39" s="36">
        <f>+C37-C38</f>
        <v>0</v>
      </c>
      <c r="D39" s="36">
        <f t="shared" ref="D39" si="35">+D37-D38</f>
        <v>1800000</v>
      </c>
      <c r="E39" s="36">
        <f t="shared" ref="E39" si="36">+E37-E38</f>
        <v>1600000</v>
      </c>
      <c r="F39" s="36">
        <f t="shared" ref="F39" si="37">+F37-F38</f>
        <v>1400000</v>
      </c>
      <c r="G39" s="36">
        <f t="shared" ref="G39" si="38">+G37-G38</f>
        <v>1200000</v>
      </c>
      <c r="H39" s="36">
        <f t="shared" ref="H39" si="39">+H37-H38</f>
        <v>1000000</v>
      </c>
    </row>
    <row r="41" spans="1:8" x14ac:dyDescent="0.35">
      <c r="A41" t="s">
        <v>99</v>
      </c>
      <c r="C41" s="12">
        <f>+C38-B38</f>
        <v>0</v>
      </c>
      <c r="D41" s="12">
        <f t="shared" ref="D41:H41" si="40">+D38-C38</f>
        <v>200000</v>
      </c>
      <c r="E41" s="12">
        <f t="shared" si="40"/>
        <v>200000</v>
      </c>
      <c r="F41" s="12">
        <f t="shared" si="40"/>
        <v>200000</v>
      </c>
      <c r="G41" s="12">
        <f t="shared" si="40"/>
        <v>200000</v>
      </c>
      <c r="H41" s="12">
        <f t="shared" si="40"/>
        <v>200000</v>
      </c>
    </row>
    <row r="43" spans="1:8" x14ac:dyDescent="0.35">
      <c r="A43" s="45" t="s">
        <v>12</v>
      </c>
    </row>
    <row r="44" spans="1:8" x14ac:dyDescent="0.35">
      <c r="A44" t="s">
        <v>92</v>
      </c>
      <c r="C44" s="12">
        <f>+B47</f>
        <v>0</v>
      </c>
      <c r="D44" s="12">
        <f t="shared" ref="D44:H44" si="41">+C47</f>
        <v>0</v>
      </c>
      <c r="E44" s="12">
        <f t="shared" si="41"/>
        <v>1000000</v>
      </c>
      <c r="F44" s="12">
        <f t="shared" si="41"/>
        <v>1000000</v>
      </c>
      <c r="G44" s="12">
        <f t="shared" si="41"/>
        <v>1000000</v>
      </c>
      <c r="H44" s="12">
        <f t="shared" si="41"/>
        <v>1000000</v>
      </c>
    </row>
    <row r="45" spans="1:8" x14ac:dyDescent="0.35">
      <c r="A45" t="s">
        <v>93</v>
      </c>
      <c r="D45" s="12">
        <f>+'Input Data'!B22</f>
        <v>1000000</v>
      </c>
    </row>
    <row r="46" spans="1:8" x14ac:dyDescent="0.35">
      <c r="A46" t="s">
        <v>102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</row>
    <row r="47" spans="1:8" x14ac:dyDescent="0.35">
      <c r="A47" s="13" t="s">
        <v>95</v>
      </c>
      <c r="B47" s="15"/>
      <c r="C47" s="16">
        <f>+C44+C45-C46</f>
        <v>0</v>
      </c>
      <c r="D47" s="16">
        <f t="shared" ref="D47" si="42">+D44+D45-D46</f>
        <v>1000000</v>
      </c>
      <c r="E47" s="16">
        <f t="shared" ref="E47" si="43">+E44+E45-E46</f>
        <v>1000000</v>
      </c>
      <c r="F47" s="16">
        <f t="shared" ref="F47" si="44">+F44+F45-F46</f>
        <v>1000000</v>
      </c>
      <c r="G47" s="16">
        <f t="shared" ref="G47" si="45">+G44+G45-G46</f>
        <v>1000000</v>
      </c>
      <c r="H47" s="16">
        <f t="shared" ref="H47" si="46">+H44+H45-H46</f>
        <v>1000000</v>
      </c>
    </row>
    <row r="48" spans="1:8" x14ac:dyDescent="0.35">
      <c r="A48" t="s">
        <v>172</v>
      </c>
      <c r="C48" s="12">
        <f>+C47*10%</f>
        <v>0</v>
      </c>
      <c r="D48" s="12">
        <f>+D47*'Input Data'!$B$31+'Fixed Assets'!C48</f>
        <v>100000</v>
      </c>
      <c r="E48" s="12">
        <f>+E47*'Input Data'!$B$31+'Fixed Assets'!D48</f>
        <v>200000</v>
      </c>
      <c r="F48" s="12">
        <f>+F47*'Input Data'!$B$31+'Fixed Assets'!E48</f>
        <v>300000</v>
      </c>
      <c r="G48" s="12">
        <f>+G47*'Input Data'!$B$31+'Fixed Assets'!F48</f>
        <v>400000</v>
      </c>
      <c r="H48" s="12">
        <f>+H47*'Input Data'!$B$31+'Fixed Assets'!G48</f>
        <v>500000</v>
      </c>
    </row>
    <row r="49" spans="1:8" x14ac:dyDescent="0.35">
      <c r="A49" s="30" t="s">
        <v>96</v>
      </c>
      <c r="B49" s="35"/>
      <c r="C49" s="36">
        <f>+C47-C48</f>
        <v>0</v>
      </c>
      <c r="D49" s="36">
        <f t="shared" ref="D49" si="47">+D47-D48</f>
        <v>900000</v>
      </c>
      <c r="E49" s="36">
        <f t="shared" ref="E49" si="48">+E47-E48</f>
        <v>800000</v>
      </c>
      <c r="F49" s="36">
        <f t="shared" ref="F49" si="49">+F47-F48</f>
        <v>700000</v>
      </c>
      <c r="G49" s="36">
        <f t="shared" ref="G49" si="50">+G47-G48</f>
        <v>600000</v>
      </c>
      <c r="H49" s="36">
        <f t="shared" ref="H49" si="51">+H47-H48</f>
        <v>500000</v>
      </c>
    </row>
    <row r="51" spans="1:8" x14ac:dyDescent="0.35">
      <c r="A51" t="s">
        <v>100</v>
      </c>
      <c r="C51" s="12">
        <f>+C48-B48</f>
        <v>0</v>
      </c>
      <c r="D51" s="12">
        <f t="shared" ref="D51:H51" si="52">+D48-C48</f>
        <v>100000</v>
      </c>
      <c r="E51" s="12">
        <f t="shared" si="52"/>
        <v>100000</v>
      </c>
      <c r="F51" s="12">
        <f t="shared" si="52"/>
        <v>100000</v>
      </c>
      <c r="G51" s="12">
        <f t="shared" si="52"/>
        <v>100000</v>
      </c>
      <c r="H51" s="12">
        <f t="shared" si="52"/>
        <v>100000</v>
      </c>
    </row>
    <row r="53" spans="1:8" x14ac:dyDescent="0.35">
      <c r="A53" s="45" t="s">
        <v>13</v>
      </c>
    </row>
    <row r="54" spans="1:8" x14ac:dyDescent="0.35">
      <c r="A54" t="s">
        <v>92</v>
      </c>
      <c r="C54" s="12">
        <f>+B57</f>
        <v>0</v>
      </c>
      <c r="D54" s="12">
        <f t="shared" ref="D54:H54" si="53">+C57</f>
        <v>0</v>
      </c>
      <c r="E54" s="12">
        <f t="shared" si="53"/>
        <v>3500000</v>
      </c>
      <c r="F54" s="12">
        <f t="shared" si="53"/>
        <v>3500000</v>
      </c>
      <c r="G54" s="12">
        <f t="shared" si="53"/>
        <v>3500000</v>
      </c>
      <c r="H54" s="12">
        <f t="shared" si="53"/>
        <v>3500000</v>
      </c>
    </row>
    <row r="55" spans="1:8" x14ac:dyDescent="0.35">
      <c r="A55" t="s">
        <v>93</v>
      </c>
      <c r="D55" s="12">
        <f>+'Input Data'!B23</f>
        <v>3500000</v>
      </c>
    </row>
    <row r="56" spans="1:8" x14ac:dyDescent="0.35">
      <c r="A56" t="s">
        <v>102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x14ac:dyDescent="0.35">
      <c r="A57" s="13" t="s">
        <v>95</v>
      </c>
      <c r="B57" s="15"/>
      <c r="C57" s="16">
        <f>+C54+C55-C56</f>
        <v>0</v>
      </c>
      <c r="D57" s="16">
        <f t="shared" ref="D57" si="54">+D54+D55-D56</f>
        <v>3500000</v>
      </c>
      <c r="E57" s="16">
        <f t="shared" ref="E57" si="55">+E54+E55-E56</f>
        <v>3500000</v>
      </c>
      <c r="F57" s="16">
        <f t="shared" ref="F57" si="56">+F54+F55-F56</f>
        <v>3500000</v>
      </c>
      <c r="G57" s="16">
        <f t="shared" ref="G57" si="57">+G54+G55-G56</f>
        <v>3500000</v>
      </c>
      <c r="H57" s="16">
        <f t="shared" ref="H57" si="58">+H54+H55-H56</f>
        <v>3500000</v>
      </c>
    </row>
    <row r="58" spans="1:8" x14ac:dyDescent="0.35">
      <c r="A58" t="s">
        <v>172</v>
      </c>
      <c r="C58" s="12">
        <f>+C57*10%</f>
        <v>0</v>
      </c>
      <c r="D58" s="12">
        <f>+D57*'Input Data'!$B$32+'Fixed Assets'!C58</f>
        <v>525000</v>
      </c>
      <c r="E58" s="12">
        <f>+E57*'Input Data'!$B$32+'Fixed Assets'!D58</f>
        <v>1050000</v>
      </c>
      <c r="F58" s="12">
        <f>+F57*'Input Data'!$B$32+'Fixed Assets'!E58</f>
        <v>1575000</v>
      </c>
      <c r="G58" s="12">
        <f>+G57*'Input Data'!$B$32+'Fixed Assets'!F58</f>
        <v>2100000</v>
      </c>
      <c r="H58" s="12">
        <f>+H57*'Input Data'!$B$32+'Fixed Assets'!G58</f>
        <v>2625000</v>
      </c>
    </row>
    <row r="59" spans="1:8" x14ac:dyDescent="0.35">
      <c r="A59" s="30" t="s">
        <v>96</v>
      </c>
      <c r="B59" s="35"/>
      <c r="C59" s="36">
        <f>+C57-C58</f>
        <v>0</v>
      </c>
      <c r="D59" s="36">
        <f t="shared" ref="D59" si="59">+D57-D58</f>
        <v>2975000</v>
      </c>
      <c r="E59" s="36">
        <f t="shared" ref="E59" si="60">+E57-E58</f>
        <v>2450000</v>
      </c>
      <c r="F59" s="36">
        <f t="shared" ref="F59" si="61">+F57-F58</f>
        <v>1925000</v>
      </c>
      <c r="G59" s="36">
        <f t="shared" ref="G59" si="62">+G57-G58</f>
        <v>1400000</v>
      </c>
      <c r="H59" s="36">
        <f t="shared" ref="H59" si="63">+H57-H58</f>
        <v>875000</v>
      </c>
    </row>
    <row r="61" spans="1:8" x14ac:dyDescent="0.35">
      <c r="A61" t="s">
        <v>101</v>
      </c>
      <c r="C61" s="12">
        <f>+C58-B58</f>
        <v>0</v>
      </c>
      <c r="D61" s="12">
        <f t="shared" ref="D61:H61" si="64">+D58-C58</f>
        <v>525000</v>
      </c>
      <c r="E61" s="12">
        <f t="shared" si="64"/>
        <v>525000</v>
      </c>
      <c r="F61" s="12">
        <f t="shared" si="64"/>
        <v>525000</v>
      </c>
      <c r="G61" s="12">
        <f t="shared" si="64"/>
        <v>525000</v>
      </c>
      <c r="H61" s="12">
        <f t="shared" si="64"/>
        <v>525000</v>
      </c>
    </row>
  </sheetData>
  <autoFilter ref="C1:H9" xr:uid="{DF5A8685-F891-4BAC-84D9-4E1695DC6A2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4C1-4B4C-4395-859F-6C54E75F45D2}">
  <sheetPr codeName="Sheet6"/>
  <dimension ref="A1:H3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8" x14ac:dyDescent="0.35">
      <c r="A3" s="1" t="s">
        <v>103</v>
      </c>
    </row>
    <row r="4" spans="1:8" x14ac:dyDescent="0.35">
      <c r="A4" s="1" t="s">
        <v>104</v>
      </c>
    </row>
    <row r="5" spans="1:8" x14ac:dyDescent="0.35">
      <c r="A5" t="s">
        <v>106</v>
      </c>
      <c r="D5" s="12">
        <f>+'Input Data'!$B$24</f>
        <v>15600000</v>
      </c>
      <c r="E5" s="12">
        <f>+'Input Data'!$B$24</f>
        <v>15600000</v>
      </c>
      <c r="F5" s="12">
        <f>+'Input Data'!$B$24</f>
        <v>15600000</v>
      </c>
      <c r="G5" s="12">
        <f>+'Input Data'!$B$24</f>
        <v>15600000</v>
      </c>
      <c r="H5" s="12">
        <f>+'Input Data'!$B$24</f>
        <v>15600000</v>
      </c>
    </row>
    <row r="6" spans="1:8" x14ac:dyDescent="0.35">
      <c r="A6" t="s">
        <v>107</v>
      </c>
      <c r="D6" s="12">
        <f>+'P&amp;L'!D41+'Balance sheet'!C6</f>
        <v>5885021.7718924843</v>
      </c>
      <c r="E6" s="12">
        <f>+'P&amp;L'!E41+'Balance sheet'!D6</f>
        <v>11728947.255475078</v>
      </c>
      <c r="F6" s="12">
        <f>+'P&amp;L'!F41+'Balance sheet'!E6</f>
        <v>19891361.440651402</v>
      </c>
      <c r="G6" s="12">
        <f>+'P&amp;L'!G41+'Balance sheet'!F6</f>
        <v>27849470.93089037</v>
      </c>
      <c r="H6" s="12">
        <f>+'P&amp;L'!H41+'Balance sheet'!G6</f>
        <v>36021508.775351033</v>
      </c>
    </row>
    <row r="7" spans="1:8" x14ac:dyDescent="0.35">
      <c r="A7" s="1" t="s">
        <v>108</v>
      </c>
      <c r="C7" s="18">
        <f>+C5+C6</f>
        <v>0</v>
      </c>
      <c r="D7" s="18">
        <f>+D5+D6</f>
        <v>21485021.771892484</v>
      </c>
      <c r="E7" s="18">
        <f t="shared" ref="E7:H7" si="1">+E5+E6</f>
        <v>27328947.255475078</v>
      </c>
      <c r="F7" s="18">
        <f t="shared" si="1"/>
        <v>35491361.440651402</v>
      </c>
      <c r="G7" s="18">
        <f t="shared" si="1"/>
        <v>43449470.930890366</v>
      </c>
      <c r="H7" s="18">
        <f t="shared" si="1"/>
        <v>51621508.775351033</v>
      </c>
    </row>
    <row r="10" spans="1:8" x14ac:dyDescent="0.35">
      <c r="A10" s="1" t="s">
        <v>105</v>
      </c>
    </row>
    <row r="11" spans="1:8" x14ac:dyDescent="0.35">
      <c r="A11" s="1" t="s">
        <v>109</v>
      </c>
    </row>
    <row r="12" spans="1:8" x14ac:dyDescent="0.35">
      <c r="A12" t="s">
        <v>110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4" spans="1:8" x14ac:dyDescent="0.35">
      <c r="A14" s="1" t="s">
        <v>111</v>
      </c>
    </row>
    <row r="15" spans="1:8" x14ac:dyDescent="0.35">
      <c r="A15" t="s">
        <v>112</v>
      </c>
      <c r="D15" s="12">
        <f>+'P&amp;L'!D26/365*'Input Data'!$B$82</f>
        <v>2343398.6977315065</v>
      </c>
      <c r="E15" s="12">
        <f>+'P&amp;L'!E26/365*'Input Data'!$B$82</f>
        <v>2853112.9033117802</v>
      </c>
      <c r="F15" s="12">
        <f>+'P&amp;L'!F26/365*'Input Data'!$B$82</f>
        <v>3148024.3265082738</v>
      </c>
      <c r="G15" s="12">
        <f>+'P&amp;L'!G26/365*'Input Data'!$B$82</f>
        <v>3763453.9046787946</v>
      </c>
      <c r="H15" s="12">
        <f>+'P&amp;L'!H26/365*'Input Data'!$B$82</f>
        <v>3983543.8504317696</v>
      </c>
    </row>
    <row r="16" spans="1:8" x14ac:dyDescent="0.35">
      <c r="A16" s="1" t="s">
        <v>113</v>
      </c>
      <c r="D16" s="18">
        <f>+D12+D15</f>
        <v>2343398.6977315065</v>
      </c>
      <c r="E16" s="18">
        <f t="shared" ref="E16:H16" si="2">+E12+E15</f>
        <v>2853112.9033117802</v>
      </c>
      <c r="F16" s="18">
        <f t="shared" si="2"/>
        <v>3148024.3265082738</v>
      </c>
      <c r="G16" s="18">
        <f t="shared" si="2"/>
        <v>3763453.9046787946</v>
      </c>
      <c r="H16" s="18">
        <f t="shared" si="2"/>
        <v>3983543.8504317696</v>
      </c>
    </row>
    <row r="17" spans="1:8" s="1" customFormat="1" x14ac:dyDescent="0.35">
      <c r="A17" s="30" t="s">
        <v>14</v>
      </c>
      <c r="B17" s="30"/>
      <c r="C17" s="31"/>
      <c r="D17" s="31">
        <f>+D7+D16</f>
        <v>23828420.46962399</v>
      </c>
      <c r="E17" s="31">
        <f t="shared" ref="E17:H17" si="3">+E7+E16</f>
        <v>30182060.158786859</v>
      </c>
      <c r="F17" s="31">
        <f t="shared" si="3"/>
        <v>38639385.767159678</v>
      </c>
      <c r="G17" s="31">
        <f t="shared" si="3"/>
        <v>47212924.835569158</v>
      </c>
      <c r="H17" s="31">
        <f t="shared" si="3"/>
        <v>55605052.625782803</v>
      </c>
    </row>
    <row r="19" spans="1:8" x14ac:dyDescent="0.35">
      <c r="A19" s="1" t="s">
        <v>114</v>
      </c>
    </row>
    <row r="20" spans="1:8" x14ac:dyDescent="0.35">
      <c r="A20" s="1" t="s">
        <v>115</v>
      </c>
    </row>
    <row r="21" spans="1:8" x14ac:dyDescent="0.35">
      <c r="A21" s="1" t="s">
        <v>116</v>
      </c>
    </row>
    <row r="22" spans="1:8" x14ac:dyDescent="0.35">
      <c r="A22" t="s">
        <v>95</v>
      </c>
      <c r="D22" s="12">
        <f>SUMIF('Fixed Assets'!$A:$A,'Balance sheet'!$A$22,'Fixed Assets'!D:D)</f>
        <v>15600000</v>
      </c>
      <c r="E22" s="12">
        <f>SUMIF('Fixed Assets'!$A:$A,'Balance sheet'!$A$22,'Fixed Assets'!E:E)</f>
        <v>15600000</v>
      </c>
      <c r="F22" s="12">
        <f>SUMIF('Fixed Assets'!$A:$A,'Balance sheet'!$A$22,'Fixed Assets'!F:F)</f>
        <v>15600000</v>
      </c>
      <c r="G22" s="12">
        <f>SUMIF('Fixed Assets'!$A:$A,'Balance sheet'!$A$22,'Fixed Assets'!G:G)</f>
        <v>15600000</v>
      </c>
      <c r="H22" s="12">
        <f>SUMIF('Fixed Assets'!$A:$A,'Balance sheet'!$A$22,'Fixed Assets'!H:H)</f>
        <v>15600000</v>
      </c>
    </row>
    <row r="23" spans="1:8" x14ac:dyDescent="0.35">
      <c r="A23" t="s">
        <v>172</v>
      </c>
      <c r="D23" s="12">
        <f>SUMIF('Fixed Assets'!$A:$A,'Balance sheet'!$A$23,'Fixed Assets'!D:D)</f>
        <v>1585000</v>
      </c>
      <c r="E23" s="12">
        <f>SUMIF('Fixed Assets'!$A:$A,'Balance sheet'!$A$23,'Fixed Assets'!E:E)</f>
        <v>3170000</v>
      </c>
      <c r="F23" s="12">
        <f>SUMIF('Fixed Assets'!$A:$A,'Balance sheet'!$A$23,'Fixed Assets'!F:F)</f>
        <v>4755000</v>
      </c>
      <c r="G23" s="12">
        <f>SUMIF('Fixed Assets'!$A:$A,'Balance sheet'!$A$23,'Fixed Assets'!G:G)</f>
        <v>6340000</v>
      </c>
      <c r="H23" s="12">
        <f>SUMIF('Fixed Assets'!$A:$A,'Balance sheet'!$A$23,'Fixed Assets'!H:H)</f>
        <v>7925000</v>
      </c>
    </row>
    <row r="24" spans="1:8" x14ac:dyDescent="0.35">
      <c r="A24" s="1" t="s">
        <v>117</v>
      </c>
      <c r="D24" s="18">
        <f>+D22-D23</f>
        <v>14015000</v>
      </c>
      <c r="E24" s="18">
        <f t="shared" ref="E24:H24" si="4">+E22-E23</f>
        <v>12430000</v>
      </c>
      <c r="F24" s="18">
        <f t="shared" si="4"/>
        <v>10845000</v>
      </c>
      <c r="G24" s="18">
        <f t="shared" si="4"/>
        <v>9260000</v>
      </c>
      <c r="H24" s="18">
        <f t="shared" si="4"/>
        <v>7675000</v>
      </c>
    </row>
    <row r="26" spans="1:8" x14ac:dyDescent="0.35">
      <c r="A26" s="1" t="s">
        <v>118</v>
      </c>
    </row>
    <row r="27" spans="1:8" x14ac:dyDescent="0.35">
      <c r="A27" t="s">
        <v>119</v>
      </c>
      <c r="D27" s="12">
        <f>'P&amp;L'!D9/365*'Input Data'!$B$83</f>
        <v>413820.04055671237</v>
      </c>
      <c r="E27" s="12">
        <f>'P&amp;L'!E9/365*'Input Data'!$B$83</f>
        <v>480825.55020624661</v>
      </c>
      <c r="F27" s="12">
        <f>'P&amp;L'!F9/365*'Input Data'!$B$83</f>
        <v>553715.8342611288</v>
      </c>
      <c r="G27" s="12">
        <f>'P&amp;L'!G9/365*'Input Data'!$B$83</f>
        <v>632364.9225333042</v>
      </c>
      <c r="H27" s="12">
        <f>'P&amp;L'!H9/365*'Input Data'!$B$83</f>
        <v>664672.30531659641</v>
      </c>
    </row>
    <row r="28" spans="1:8" x14ac:dyDescent="0.35">
      <c r="A28" t="s">
        <v>120</v>
      </c>
      <c r="D28" s="12">
        <f>+Cashflow!D28</f>
        <v>9399600.4290672783</v>
      </c>
      <c r="E28" s="12">
        <f>+Cashflow!E28</f>
        <v>17271234.608580612</v>
      </c>
      <c r="F28" s="12">
        <f>+Cashflow!F28</f>
        <v>27240669.932898548</v>
      </c>
      <c r="G28" s="12">
        <f>+Cashflow!G28</f>
        <v>37320559.913035862</v>
      </c>
      <c r="H28" s="12">
        <f>+Cashflow!H28</f>
        <v>47265380.320466205</v>
      </c>
    </row>
    <row r="29" spans="1:8" x14ac:dyDescent="0.35">
      <c r="A29" s="35" t="s">
        <v>14</v>
      </c>
      <c r="B29" s="35"/>
      <c r="C29" s="36"/>
      <c r="D29" s="36">
        <f>+D24+D27+D28</f>
        <v>23828420.46962399</v>
      </c>
      <c r="E29" s="36">
        <f t="shared" ref="E29:H29" si="5">+E24+E27+E28</f>
        <v>30182060.158786856</v>
      </c>
      <c r="F29" s="36">
        <f t="shared" si="5"/>
        <v>38639385.767159678</v>
      </c>
      <c r="G29" s="36">
        <f t="shared" si="5"/>
        <v>47212924.835569166</v>
      </c>
      <c r="H29" s="36">
        <f t="shared" si="5"/>
        <v>55605052.625782803</v>
      </c>
    </row>
    <row r="30" spans="1:8" x14ac:dyDescent="0.35">
      <c r="A30" s="1" t="s">
        <v>121</v>
      </c>
      <c r="C30" s="12">
        <f>+C29-C17</f>
        <v>0</v>
      </c>
      <c r="D30" s="12">
        <f t="shared" ref="D30:H30" si="6">+D29-D17</f>
        <v>0</v>
      </c>
      <c r="E30" s="12">
        <f t="shared" si="6"/>
        <v>0</v>
      </c>
      <c r="F30" s="12">
        <f t="shared" si="6"/>
        <v>0</v>
      </c>
      <c r="G30" s="12">
        <f t="shared" si="6"/>
        <v>0</v>
      </c>
      <c r="H30" s="12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E7A6-09DE-4F0D-AAD1-0EA2D960CB11}">
  <sheetPr codeName="Sheet7"/>
  <dimension ref="A1:H2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8" x14ac:dyDescent="0.35">
      <c r="A3" s="1" t="s">
        <v>129</v>
      </c>
    </row>
    <row r="4" spans="1:8" x14ac:dyDescent="0.35">
      <c r="A4" t="s">
        <v>138</v>
      </c>
      <c r="D4" s="12">
        <f>+'P&amp;L'!D41</f>
        <v>5885021.7718924843</v>
      </c>
      <c r="E4" s="12">
        <f>+'P&amp;L'!E41</f>
        <v>5843925.4835825935</v>
      </c>
      <c r="F4" s="12">
        <f>+'P&amp;L'!F41</f>
        <v>8162414.185176325</v>
      </c>
      <c r="G4" s="12">
        <f>+'P&amp;L'!G41</f>
        <v>7958109.4902389674</v>
      </c>
      <c r="H4" s="12">
        <f>+'P&amp;L'!H41</f>
        <v>8172037.8444606634</v>
      </c>
    </row>
    <row r="5" spans="1:8" x14ac:dyDescent="0.35">
      <c r="A5" s="1" t="s">
        <v>135</v>
      </c>
    </row>
    <row r="6" spans="1:8" x14ac:dyDescent="0.35">
      <c r="A6" t="s">
        <v>32</v>
      </c>
      <c r="D6" s="12">
        <f>SUM('P&amp;L'!D31:D36)</f>
        <v>1585000</v>
      </c>
      <c r="E6" s="12">
        <f>SUM('P&amp;L'!E31:E36)</f>
        <v>1585000</v>
      </c>
      <c r="F6" s="12">
        <f>SUM('P&amp;L'!F31:F36)</f>
        <v>1585000</v>
      </c>
      <c r="G6" s="12">
        <f>SUM('P&amp;L'!G31:G36)</f>
        <v>1585000</v>
      </c>
      <c r="H6" s="12">
        <f>SUM('P&amp;L'!H31:H36)</f>
        <v>1585000</v>
      </c>
    </row>
    <row r="7" spans="1:8" ht="29" x14ac:dyDescent="0.35">
      <c r="A7" s="20" t="s">
        <v>136</v>
      </c>
      <c r="B7" s="1"/>
      <c r="C7" s="18"/>
      <c r="D7" s="18">
        <f>+D4+D6</f>
        <v>7470021.7718924843</v>
      </c>
      <c r="E7" s="18">
        <f t="shared" ref="E7:H7" si="1">+E4+E6</f>
        <v>7428925.4835825935</v>
      </c>
      <c r="F7" s="18">
        <f t="shared" si="1"/>
        <v>9747414.1851763241</v>
      </c>
      <c r="G7" s="18">
        <f t="shared" si="1"/>
        <v>9543109.4902389683</v>
      </c>
      <c r="H7" s="18">
        <f t="shared" si="1"/>
        <v>9757037.8444606625</v>
      </c>
    </row>
    <row r="8" spans="1:8" ht="29" x14ac:dyDescent="0.35">
      <c r="A8" s="46" t="s">
        <v>139</v>
      </c>
      <c r="D8" s="12">
        <f>-'Balance sheet'!D27+'Balance sheet'!C27</f>
        <v>-413820.04055671237</v>
      </c>
      <c r="E8" s="12">
        <f>-'Balance sheet'!E27+'Balance sheet'!D27</f>
        <v>-67005.509649534244</v>
      </c>
      <c r="F8" s="12">
        <f>-'Balance sheet'!F27+'Balance sheet'!E27</f>
        <v>-72890.284054882184</v>
      </c>
      <c r="G8" s="12">
        <f>-'Balance sheet'!G27+'Balance sheet'!F27</f>
        <v>-78649.088272175402</v>
      </c>
      <c r="H8" s="12">
        <f>-'Balance sheet'!H27+'Balance sheet'!G27</f>
        <v>-32307.382783292211</v>
      </c>
    </row>
    <row r="9" spans="1:8" ht="29" x14ac:dyDescent="0.35">
      <c r="A9" s="46" t="s">
        <v>140</v>
      </c>
      <c r="D9" s="12">
        <f>+('Balance sheet'!D15-'Balance sheet'!C15)</f>
        <v>2343398.6977315065</v>
      </c>
      <c r="E9" s="12">
        <f>+('Balance sheet'!E15-'Balance sheet'!D15)</f>
        <v>509714.20558027364</v>
      </c>
      <c r="F9" s="12">
        <f>+('Balance sheet'!F15-'Balance sheet'!E15)</f>
        <v>294911.42319649365</v>
      </c>
      <c r="G9" s="12">
        <f>+('Balance sheet'!G15-'Balance sheet'!F15)</f>
        <v>615429.57817052072</v>
      </c>
      <c r="H9" s="12">
        <f>+('Balance sheet'!H15-'Balance sheet'!G15)</f>
        <v>220089.94575297507</v>
      </c>
    </row>
    <row r="10" spans="1:8" x14ac:dyDescent="0.35">
      <c r="A10" s="47" t="s">
        <v>137</v>
      </c>
      <c r="B10" s="13"/>
      <c r="C10" s="14"/>
      <c r="D10" s="14">
        <f>+D7+D8+D9</f>
        <v>9399600.4290672783</v>
      </c>
      <c r="E10" s="14">
        <f t="shared" ref="E10:H10" si="2">+E7+E8+E9</f>
        <v>7871634.1795133334</v>
      </c>
      <c r="F10" s="14">
        <f t="shared" si="2"/>
        <v>9969435.3243179359</v>
      </c>
      <c r="G10" s="14">
        <f t="shared" si="2"/>
        <v>10079889.980137315</v>
      </c>
      <c r="H10" s="14">
        <f t="shared" si="2"/>
        <v>9944820.4074303452</v>
      </c>
    </row>
    <row r="12" spans="1:8" x14ac:dyDescent="0.35">
      <c r="A12" s="1" t="s">
        <v>131</v>
      </c>
    </row>
    <row r="13" spans="1:8" x14ac:dyDescent="0.35">
      <c r="A13" s="1" t="s">
        <v>141</v>
      </c>
    </row>
    <row r="14" spans="1:8" x14ac:dyDescent="0.35">
      <c r="A14" t="s">
        <v>91</v>
      </c>
      <c r="D14" s="12">
        <f>-'Input Data'!B18</f>
        <v>-3000000</v>
      </c>
    </row>
    <row r="15" spans="1:8" x14ac:dyDescent="0.35">
      <c r="A15" t="s">
        <v>162</v>
      </c>
      <c r="D15" s="12">
        <f>-'Input Data'!B19</f>
        <v>-1100000</v>
      </c>
    </row>
    <row r="16" spans="1:8" x14ac:dyDescent="0.35">
      <c r="A16" t="s">
        <v>142</v>
      </c>
      <c r="D16" s="12">
        <f>-'Input Data'!B20</f>
        <v>-5000000</v>
      </c>
    </row>
    <row r="17" spans="1:8" x14ac:dyDescent="0.35">
      <c r="A17" t="s">
        <v>143</v>
      </c>
      <c r="D17" s="12">
        <f>-'Input Data'!B21</f>
        <v>-2000000</v>
      </c>
    </row>
    <row r="18" spans="1:8" x14ac:dyDescent="0.35">
      <c r="A18" t="s">
        <v>12</v>
      </c>
      <c r="D18" s="12">
        <f>-'Input Data'!B22</f>
        <v>-1000000</v>
      </c>
    </row>
    <row r="19" spans="1:8" x14ac:dyDescent="0.35">
      <c r="A19" t="s">
        <v>13</v>
      </c>
      <c r="D19" s="12">
        <f>-'Input Data'!B23</f>
        <v>-3500000</v>
      </c>
    </row>
    <row r="20" spans="1:8" x14ac:dyDescent="0.35">
      <c r="A20" s="13" t="s">
        <v>144</v>
      </c>
      <c r="B20" s="13"/>
      <c r="C20" s="14"/>
      <c r="D20" s="14">
        <f>SUM(D14:D19)</f>
        <v>-15600000</v>
      </c>
      <c r="E20" s="14">
        <f t="shared" ref="E20:H20" si="3">SUM(E14:E19)</f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</row>
    <row r="22" spans="1:8" x14ac:dyDescent="0.35">
      <c r="A22" s="1" t="s">
        <v>130</v>
      </c>
    </row>
    <row r="23" spans="1:8" x14ac:dyDescent="0.35">
      <c r="A23" t="s">
        <v>106</v>
      </c>
      <c r="D23" s="12">
        <f>+'Balance sheet'!D5-'Balance sheet'!C5</f>
        <v>15600000</v>
      </c>
      <c r="E23" s="12">
        <f>+'Balance sheet'!E5-'Balance sheet'!D5</f>
        <v>0</v>
      </c>
      <c r="F23" s="12">
        <f>+'Balance sheet'!F5-'Balance sheet'!E5</f>
        <v>0</v>
      </c>
      <c r="G23" s="12">
        <f>+'Balance sheet'!G5-'Balance sheet'!F5</f>
        <v>0</v>
      </c>
      <c r="H23" s="12">
        <f>+'Balance sheet'!H5-'Balance sheet'!G5</f>
        <v>0</v>
      </c>
    </row>
    <row r="26" spans="1:8" x14ac:dyDescent="0.35">
      <c r="A26" s="1" t="s">
        <v>132</v>
      </c>
      <c r="D26" s="12">
        <f>+D10+D20+D23</f>
        <v>9399600.4290672783</v>
      </c>
      <c r="E26" s="12">
        <f t="shared" ref="E26:H26" si="4">+E10+E20+E23</f>
        <v>7871634.1795133334</v>
      </c>
      <c r="F26" s="12">
        <f t="shared" si="4"/>
        <v>9969435.3243179359</v>
      </c>
      <c r="G26" s="12">
        <f t="shared" si="4"/>
        <v>10079889.980137315</v>
      </c>
      <c r="H26" s="12">
        <f t="shared" si="4"/>
        <v>9944820.4074303452</v>
      </c>
    </row>
    <row r="27" spans="1:8" x14ac:dyDescent="0.35">
      <c r="A27" t="s">
        <v>133</v>
      </c>
      <c r="D27" s="12">
        <f>+C28</f>
        <v>0</v>
      </c>
      <c r="E27" s="12">
        <f t="shared" ref="E27:H27" si="5">+D28</f>
        <v>9399600.4290672783</v>
      </c>
      <c r="F27" s="12">
        <f t="shared" si="5"/>
        <v>17271234.608580612</v>
      </c>
      <c r="G27" s="12">
        <f t="shared" si="5"/>
        <v>27240669.932898548</v>
      </c>
      <c r="H27" s="12">
        <f t="shared" si="5"/>
        <v>37320559.913035862</v>
      </c>
    </row>
    <row r="28" spans="1:8" x14ac:dyDescent="0.35">
      <c r="A28" s="30" t="s">
        <v>134</v>
      </c>
      <c r="B28" s="30"/>
      <c r="C28" s="31"/>
      <c r="D28" s="31">
        <f>+D26+D27</f>
        <v>9399600.4290672783</v>
      </c>
      <c r="E28" s="31">
        <f t="shared" ref="E28:H28" si="6">+E26+E27</f>
        <v>17271234.608580612</v>
      </c>
      <c r="F28" s="31">
        <f t="shared" si="6"/>
        <v>27240669.932898548</v>
      </c>
      <c r="G28" s="31">
        <f t="shared" si="6"/>
        <v>37320559.913035862</v>
      </c>
      <c r="H28" s="31">
        <f t="shared" si="6"/>
        <v>47265380.320466205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26C-48F0-4EE5-8315-A3CA0E7DA975}">
  <sheetPr codeName="Sheet8"/>
  <dimension ref="A1:I21"/>
  <sheetViews>
    <sheetView showGridLines="0" workbookViewId="0"/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 x14ac:dyDescent="0.35">
      <c r="A2" s="7" t="s">
        <v>20</v>
      </c>
      <c r="B2" s="7"/>
      <c r="C2" s="11">
        <f>'Input Data'!B2</f>
        <v>45383</v>
      </c>
      <c r="D2" s="11">
        <f>EOMONTH(C2,11)</f>
        <v>45747</v>
      </c>
      <c r="E2" s="11">
        <f>EOMONTH(D2,12)</f>
        <v>46112</v>
      </c>
      <c r="F2" s="11">
        <f t="shared" ref="F2:H2" si="0">EOMONTH(E2,12)</f>
        <v>46477</v>
      </c>
      <c r="G2" s="11">
        <f t="shared" si="0"/>
        <v>46843</v>
      </c>
      <c r="H2" s="11">
        <f t="shared" si="0"/>
        <v>47208</v>
      </c>
    </row>
    <row r="3" spans="1:8" x14ac:dyDescent="0.35">
      <c r="A3" t="s">
        <v>152</v>
      </c>
      <c r="C3" s="12">
        <f>-'Input Data'!B4</f>
        <v>-45000000</v>
      </c>
    </row>
    <row r="4" spans="1:8" x14ac:dyDescent="0.35">
      <c r="A4" t="s">
        <v>145</v>
      </c>
      <c r="D4" s="12">
        <f>+'P&amp;L'!D37</f>
        <v>7864521.9456000067</v>
      </c>
      <c r="E4" s="12">
        <f>+'P&amp;L'!E37</f>
        <v>7809602.410240002</v>
      </c>
      <c r="F4" s="12">
        <f>+'P&amp;L'!F37</f>
        <v>10907943.585696012</v>
      </c>
      <c r="G4" s="12">
        <f>+'P&amp;L'!G37</f>
        <v>10634918.468848012</v>
      </c>
      <c r="H4" s="12">
        <f>+'P&amp;L'!H37</f>
        <v>10920804.282320812</v>
      </c>
    </row>
    <row r="5" spans="1:8" x14ac:dyDescent="0.35">
      <c r="A5" t="s">
        <v>147</v>
      </c>
      <c r="D5" s="12">
        <f>+D4*'Input Data'!$B$12</f>
        <v>1979500.173707522</v>
      </c>
      <c r="E5" s="12">
        <f>+E4*'Input Data'!$B$12</f>
        <v>1965676.9266574087</v>
      </c>
      <c r="F5" s="12">
        <f>+F4*'Input Data'!$B$12</f>
        <v>2745529.4005196868</v>
      </c>
      <c r="G5" s="12">
        <f>+G4*'Input Data'!$B$12</f>
        <v>2676808.978609045</v>
      </c>
      <c r="H5" s="12">
        <f>+H4*'Input Data'!$B$12</f>
        <v>2748766.437860149</v>
      </c>
    </row>
    <row r="6" spans="1:8" x14ac:dyDescent="0.35">
      <c r="A6" s="1" t="s">
        <v>148</v>
      </c>
      <c r="B6" s="1"/>
      <c r="C6" s="18"/>
      <c r="D6" s="18">
        <f>+D4-D5</f>
        <v>5885021.7718924843</v>
      </c>
      <c r="E6" s="18">
        <f t="shared" ref="E6:H6" si="1">+E4-E5</f>
        <v>5843925.4835825935</v>
      </c>
      <c r="F6" s="18">
        <f t="shared" si="1"/>
        <v>8162414.185176325</v>
      </c>
      <c r="G6" s="18">
        <f t="shared" si="1"/>
        <v>7958109.4902389674</v>
      </c>
      <c r="H6" s="18">
        <f t="shared" si="1"/>
        <v>8172037.8444606634</v>
      </c>
    </row>
    <row r="7" spans="1:8" x14ac:dyDescent="0.35">
      <c r="A7" t="s">
        <v>149</v>
      </c>
      <c r="D7" s="12">
        <f>+Cashflow!D6</f>
        <v>1585000</v>
      </c>
      <c r="E7" s="12">
        <f>+Cashflow!E6</f>
        <v>1585000</v>
      </c>
      <c r="F7" s="12">
        <f>+Cashflow!F6</f>
        <v>1585000</v>
      </c>
      <c r="G7" s="12">
        <f>+Cashflow!G6</f>
        <v>1585000</v>
      </c>
      <c r="H7" s="12">
        <f>+Cashflow!H6</f>
        <v>1585000</v>
      </c>
    </row>
    <row r="8" spans="1:8" x14ac:dyDescent="0.35">
      <c r="A8" t="s">
        <v>150</v>
      </c>
      <c r="D8" s="12">
        <f>SUM(Cashflow!D8:D9)</f>
        <v>1929578.6571747942</v>
      </c>
      <c r="E8" s="12">
        <f>SUM(Cashflow!E8:E9)</f>
        <v>442708.6959307394</v>
      </c>
      <c r="F8" s="12">
        <f>SUM(Cashflow!F8:F9)</f>
        <v>222021.13914161146</v>
      </c>
      <c r="G8" s="12">
        <f>SUM(Cashflow!G8:G9)</f>
        <v>536780.48989834532</v>
      </c>
      <c r="H8" s="12">
        <f>SUM(Cashflow!H8:H9)</f>
        <v>187782.56296968285</v>
      </c>
    </row>
    <row r="9" spans="1:8" x14ac:dyDescent="0.35">
      <c r="A9" t="s">
        <v>171</v>
      </c>
      <c r="C9" s="12">
        <f>-'Input Data'!B24</f>
        <v>-15600000</v>
      </c>
    </row>
    <row r="10" spans="1:8" x14ac:dyDescent="0.35">
      <c r="A10" s="30" t="s">
        <v>151</v>
      </c>
      <c r="B10" s="30"/>
      <c r="C10" s="31">
        <f>+C9+C8+C7+C6+C3</f>
        <v>-60600000</v>
      </c>
      <c r="D10" s="31">
        <f>+D9+D8+D7+D6+D3</f>
        <v>9399600.4290672783</v>
      </c>
      <c r="E10" s="31">
        <f t="shared" ref="E10:H10" si="2">+E9+E8+E7+E6+E3</f>
        <v>7871634.1795133334</v>
      </c>
      <c r="F10" s="31">
        <f t="shared" si="2"/>
        <v>9969435.3243179359</v>
      </c>
      <c r="G10" s="31">
        <f t="shared" si="2"/>
        <v>10079889.980137313</v>
      </c>
      <c r="H10" s="31">
        <f t="shared" si="2"/>
        <v>9944820.4074303471</v>
      </c>
    </row>
    <row r="11" spans="1:8" x14ac:dyDescent="0.35">
      <c r="A11" s="1" t="s">
        <v>27</v>
      </c>
      <c r="B11" s="1"/>
      <c r="C11" s="18"/>
      <c r="D11" s="18"/>
      <c r="E11" s="18"/>
      <c r="F11" s="18"/>
      <c r="G11" s="18"/>
      <c r="H11" s="18">
        <f>H10*(1+'Input Data'!$B$86)/('Input Data'!$B$85-'Input Data'!$B$86)</f>
        <v>80323549.444629729</v>
      </c>
    </row>
    <row r="12" spans="1:8" x14ac:dyDescent="0.35">
      <c r="A12" s="30" t="s">
        <v>151</v>
      </c>
      <c r="B12" s="35"/>
      <c r="C12" s="36">
        <f t="shared" ref="C12:G12" si="3">+C10+C11</f>
        <v>-60600000</v>
      </c>
      <c r="D12" s="36">
        <f t="shared" si="3"/>
        <v>9399600.4290672783</v>
      </c>
      <c r="E12" s="36">
        <f t="shared" si="3"/>
        <v>7871634.1795133334</v>
      </c>
      <c r="F12" s="36">
        <f t="shared" si="3"/>
        <v>9969435.3243179359</v>
      </c>
      <c r="G12" s="36">
        <f t="shared" si="3"/>
        <v>10079889.980137313</v>
      </c>
      <c r="H12" s="36">
        <f>+H10+H11</f>
        <v>90268369.85206008</v>
      </c>
    </row>
    <row r="13" spans="1:8" x14ac:dyDescent="0.35">
      <c r="A13" s="1"/>
      <c r="C13" s="54"/>
      <c r="D13" s="54"/>
      <c r="E13" s="54"/>
      <c r="F13" s="54"/>
      <c r="G13" s="54"/>
      <c r="H13" s="54"/>
    </row>
    <row r="14" spans="1:8" x14ac:dyDescent="0.35">
      <c r="A14" s="55" t="s">
        <v>160</v>
      </c>
      <c r="B14" s="55"/>
      <c r="C14" s="56">
        <f>XIRR(C12:H12,C2:H2)</f>
        <v>0.19806415438652039</v>
      </c>
    </row>
    <row r="18" spans="6:9" x14ac:dyDescent="0.35">
      <c r="G18" s="12" t="s">
        <v>153</v>
      </c>
    </row>
    <row r="19" spans="6:9" ht="16" x14ac:dyDescent="0.5">
      <c r="G19" s="48" t="s">
        <v>169</v>
      </c>
      <c r="H19" s="48"/>
      <c r="I19" s="49"/>
    </row>
    <row r="20" spans="6:9" x14ac:dyDescent="0.35">
      <c r="F20" s="12" t="s">
        <v>154</v>
      </c>
      <c r="G20" s="12" t="s">
        <v>155</v>
      </c>
      <c r="H20" s="12" t="s">
        <v>156</v>
      </c>
    </row>
    <row r="21" spans="6:9" x14ac:dyDescent="0.35">
      <c r="H21" s="12" t="s">
        <v>157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F706-9896-462A-BA0A-918D4B3DE4E5}">
  <dimension ref="A1:H6"/>
  <sheetViews>
    <sheetView showGridLines="0" workbookViewId="0">
      <selection activeCell="C1" sqref="C1"/>
    </sheetView>
  </sheetViews>
  <sheetFormatPr defaultRowHeight="14.5" x14ac:dyDescent="0.35"/>
  <cols>
    <col min="1" max="1" width="30.6328125" customWidth="1"/>
    <col min="2" max="2" width="12.6328125" customWidth="1"/>
    <col min="3" max="8" width="12.6328125" style="12" customWidth="1"/>
  </cols>
  <sheetData>
    <row r="1" spans="1:8" x14ac:dyDescent="0.35">
      <c r="A1" s="7" t="s">
        <v>19</v>
      </c>
      <c r="B1" s="7"/>
      <c r="C1" s="9">
        <v>0</v>
      </c>
      <c r="D1" s="60"/>
      <c r="E1" s="60"/>
      <c r="F1" s="60"/>
      <c r="G1" s="60"/>
      <c r="H1" s="60"/>
    </row>
    <row r="2" spans="1:8" x14ac:dyDescent="0.35">
      <c r="A2" s="7" t="s">
        <v>20</v>
      </c>
      <c r="B2" s="7"/>
      <c r="C2" s="11">
        <f>'Input Data'!B2</f>
        <v>45383</v>
      </c>
      <c r="D2" s="61"/>
      <c r="E2" s="61"/>
      <c r="F2" s="61"/>
      <c r="G2" s="61"/>
      <c r="H2" s="61"/>
    </row>
    <row r="4" spans="1:8" x14ac:dyDescent="0.35">
      <c r="A4" t="s">
        <v>158</v>
      </c>
      <c r="B4" s="50">
        <f>+'MC Donalds frachise'!C14</f>
        <v>0.19806415438652039</v>
      </c>
    </row>
    <row r="5" spans="1:8" x14ac:dyDescent="0.35">
      <c r="A5" t="s">
        <v>170</v>
      </c>
      <c r="B5" s="50">
        <f>+Rental!C13</f>
        <v>0.19159794449806214</v>
      </c>
    </row>
    <row r="6" spans="1:8" x14ac:dyDescent="0.35">
      <c r="A6" s="51" t="s">
        <v>159</v>
      </c>
      <c r="B6" s="52" t="str">
        <f>IF(B4&gt;B5,"Go for McDonalds Business","Go for Rental Business")</f>
        <v>Go for McDonalds Business</v>
      </c>
      <c r="C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Data</vt:lpstr>
      <vt:lpstr>Rental</vt:lpstr>
      <vt:lpstr>Revenue</vt:lpstr>
      <vt:lpstr>P&amp;L</vt:lpstr>
      <vt:lpstr>Fixed Assets</vt:lpstr>
      <vt:lpstr>Balance sheet</vt:lpstr>
      <vt:lpstr>Cashflow</vt:lpstr>
      <vt:lpstr>MC Donalds frachise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AJEETHKUMAR G</dc:creator>
  <cp:lastModifiedBy>AJEETHKUMAR G</cp:lastModifiedBy>
  <cp:lastPrinted>2025-06-23T08:19:20Z</cp:lastPrinted>
  <dcterms:created xsi:type="dcterms:W3CDTF">2025-06-23T07:00:18Z</dcterms:created>
  <dcterms:modified xsi:type="dcterms:W3CDTF">2025-09-14T14:50:52Z</dcterms:modified>
</cp:coreProperties>
</file>