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codeName="ThisWorkbook" defaultThemeVersion="124226"/>
  <mc:AlternateContent xmlns:mc="http://schemas.openxmlformats.org/markup-compatibility/2006">
    <mc:Choice Requires="x15">
      <x15ac:absPath xmlns:x15ac="http://schemas.microsoft.com/office/spreadsheetml/2010/11/ac" url="C:\Users\srika\Desktop\"/>
    </mc:Choice>
  </mc:AlternateContent>
  <xr:revisionPtr revIDLastSave="0" documentId="13_ncr:11_{5031D92C-6D2C-4728-8F8B-366182AA1C69}" xr6:coauthVersionLast="47" xr6:coauthVersionMax="47" xr10:uidLastSave="{00000000-0000-0000-0000-000000000000}"/>
  <bookViews>
    <workbookView xWindow="-110" yWindow="-110" windowWidth="19420" windowHeight="11500" activeTab="1"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3" i="3" l="1"/>
  <c r="AB4" i="3"/>
  <c r="AB5" i="3"/>
  <c r="AB6" i="3"/>
  <c r="AB7" i="3"/>
  <c r="AB8" i="3"/>
  <c r="M3" i="1"/>
  <c r="M4" i="1"/>
  <c r="M5" i="1"/>
  <c r="M6" i="1"/>
  <c r="M7" i="1"/>
  <c r="M8" i="1"/>
  <c r="M9" i="1"/>
  <c r="M10" i="1"/>
  <c r="M11" i="1"/>
  <c r="M12" i="1"/>
  <c r="M13" i="1"/>
  <c r="M14" i="1"/>
  <c r="M15" i="1"/>
  <c r="B159" i="7" l="1"/>
  <c r="B158" i="7"/>
  <c r="B161" i="7"/>
  <c r="B160" i="7"/>
  <c r="P36" i="7"/>
  <c r="Q36" i="7" s="1"/>
  <c r="P2" i="7"/>
  <c r="B173" i="7"/>
  <c r="B172" i="7"/>
  <c r="B175" i="7"/>
  <c r="B174" i="7"/>
  <c r="R36" i="7"/>
  <c r="S36" i="7" s="1"/>
  <c r="R2" i="7"/>
  <c r="B145" i="7"/>
  <c r="B144" i="7"/>
  <c r="B147" i="7"/>
  <c r="B146" i="7"/>
  <c r="N36" i="7"/>
  <c r="O36" i="7" s="1"/>
  <c r="N2" i="7"/>
  <c r="B131" i="7"/>
  <c r="B130" i="7"/>
  <c r="B117" i="7"/>
  <c r="B116" i="7"/>
  <c r="B133" i="7"/>
  <c r="B132" i="7"/>
  <c r="L36" i="7"/>
  <c r="M36" i="7" s="1"/>
  <c r="L2" i="7"/>
  <c r="B103" i="7"/>
  <c r="B102" i="7"/>
  <c r="B89" i="7"/>
  <c r="B88" i="7"/>
  <c r="B119" i="7"/>
  <c r="B118" i="7"/>
  <c r="J36" i="7"/>
  <c r="K36" i="7" s="1"/>
  <c r="J2" i="7"/>
  <c r="B105" i="7"/>
  <c r="B104" i="7"/>
  <c r="H36" i="7"/>
  <c r="I36" i="7" s="1"/>
  <c r="H2" i="7"/>
  <c r="B91" i="7"/>
  <c r="B90" i="7"/>
  <c r="F36" i="7"/>
  <c r="G36" i="7" s="1"/>
  <c r="F2" i="7"/>
  <c r="B75" i="7"/>
  <c r="B74" i="7"/>
  <c r="B77" i="7"/>
  <c r="B76" i="7"/>
  <c r="T36"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8" i="7"/>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E34" i="7" l="1"/>
  <c r="E35" i="7"/>
  <c r="I34" i="7"/>
  <c r="I35" i="7"/>
  <c r="S34" i="7"/>
  <c r="S35" i="7"/>
  <c r="T35" i="7"/>
  <c r="N35" i="7"/>
  <c r="J35" i="7"/>
  <c r="F35" i="7"/>
  <c r="U35" i="7"/>
  <c r="U34" i="7"/>
  <c r="G34" i="7" l="1"/>
  <c r="G35" i="7"/>
  <c r="K34" i="7"/>
  <c r="K35" i="7"/>
  <c r="O34" i="7"/>
  <c r="O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<sst xmlns="http://schemas.openxmlformats.org/spreadsheetml/2006/main" count="291" uniqueCount="188">
  <si>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</si>
  <si>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</si>
  <si>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</si>
  <si>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</si>
  <si>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</si>
  <si>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</si>
  <si>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</si>
  <si>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</si>
  <si>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</si>
  <si>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</si>
  <si>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</si>
  <si>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</si>
  <si>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</si>
  <si>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</si>
  <si>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</si>
  <si>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</si>
  <si>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</si>
  <si>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</si>
  <si>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</si>
  <si>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</si>
  <si>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</si>
  <si>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</si>
  <si>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</si>
  <si>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</si>
  <si>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</si>
  <si>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</si>
  <si>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</si>
  <si>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</si>
  <si>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</si>
  <si>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</si>
  <si>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</si>
  <si>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</si>
  <si>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</si>
  <si>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</si>
  <si>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</si>
  <si>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</si>
  <si>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</si>
  <si>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</si>
  <si>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</si>
  <si>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</si>
  <si>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</si>
  <si>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</si>
  <si>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</si>
  <si>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</si>
  <si>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</si>
  <si>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</si>
  <si>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</si>
  <si>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</si>
  <si>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</si>
  <si>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</si>
  <si>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</si>
  <si>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</si>
  <si>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</si>
  <si>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</si>
  <si>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</si>
  <si>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</si>
  <si>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</si>
  <si>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</si>
  <si>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</si>
  <si>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</si>
  <si>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</si>
  <si>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</si>
  <si>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</si>
  <si>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</si>
  <si>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</si>
  <si>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</si>
  <si>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</si>
  <si>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</si>
  <si>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</si>
  <si>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</si>
  <si>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</si>
  <si>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</si>
  <si>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</si>
  <si>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</si>
  <si>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</si>
  <si>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</si>
  <si>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</si>
  <si>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</si>
  <si>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</si>
  <si>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</si>
  <si>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</si>
  <si>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</si>
  <si>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</si>
  <si>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</si>
  <si>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</si>
  <si>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</si>
  <si>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</si>
  <si>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</si>
  <si>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</si>
  <si>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</si>
  <si>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</si>
  <si>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</si>
  <si>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</si>
  <si>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</si>
  <si>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</si>
  <si>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</si>
  <si>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</si>
  <si>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</si>
  <si>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</si>
  <si>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</si>
  <si>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</si>
  <si>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</si>
  <si>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</si>
  <si>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</si>
  <si>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</si>
  <si>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</si>
  <si>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</si>
  <si>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</si>
  <si>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</si>
  <si>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</si>
  <si>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</si>
  <si>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</si>
  <si>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</si>
  <si>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</si>
  <si>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</si>
  <si>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</si>
  <si>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</si>
  <si>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</si>
  <si>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</si>
  <si>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</si>
  <si>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</si>
  <si>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</si>
  <si>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</si>
  <si>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</si>
  <si>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</si>
  <si>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</si>
  <si>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</si>
  <si>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</si>
  <si>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</si>
  <si>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</si>
  <si>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</si>
  <si>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</si>
  <si>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</si>
  <si>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</si>
  <si>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</si>
  <si>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</si>
  <si>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</si>
  <si>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</si>
  <si>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</si>
  <si>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</si>
  <si>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</si>
  <si>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</si>
  <si>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</si>
  <si>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</si>
  <si>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</si>
  <si>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</si>
  <si>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</si>
  <si>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</si>
  <si>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</si>
  <si>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</si>
  <si>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</si>
  <si>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</si>
  <si>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</si>
  <si>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</si>
  <si>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</si>
  <si>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</si>
  <si>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</si>
  <si>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</si>
  <si>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</si>
  <si>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</si>
  <si>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</si>
  <si>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</si>
  <si>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</si>
  <si>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</si>
  <si>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</si>
  <si>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</si>
  <si>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</si>
  <si>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</si>
  <si>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</si>
  <si>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</si>
  <si>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</si>
  <si>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</si>
  <si>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</si>
  <si>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</si>
  <si>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Ann</t>
  </si>
  <si>
    <t>Nick</t>
  </si>
  <si>
    <t>Bhupesh</t>
  </si>
  <si>
    <t>Xun</t>
  </si>
  <si>
    <t>Patrick</t>
  </si>
  <si>
    <t>R Programming</t>
  </si>
  <si>
    <t>Lisa</t>
  </si>
  <si>
    <t>Python Programming</t>
  </si>
  <si>
    <t>Graph History</t>
  </si>
  <si>
    <t>LayoutAlgorithm░The graph was laid out using the Fruchterman-Reingold layout algorithm.▓GraphDirectedness░The graph is undirected.</t>
  </si>
  <si>
    <t>Vertices[Y]</t>
  </si>
  <si>
    <t>&lt;?xml version="1.0" encoding="utf-8"?&gt;_x000D_
&lt;configuration&gt;_x000D_
  &lt;configSections&gt;_x000D_
    &lt;sectionGroup name="userSettings" type="System.Configuration.UserSettingsGroup, System, Version=2.0.0.0, Culture=neutral, PublicKeyToken=b77a5c561934e089"&gt;_x000D_
      &lt;section name="LayoutUserSettings" type="System.Configuration.ClientSettingsSection, System, Version=2.0.0.0, Culture=neutral, PublicKeyToken=b77a5c561934e089" allowExeDefinition="MachineToLocalUser" requirePermission="false" /&gt;_x000D_
      &lt;section name="DynamicFiltersUserSettings"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&lt;LayoutUserSettings&gt;_x000D_
      &lt;setting name="FruchtermanReingoldIterations" serializeAs="String"&gt;_x000D_
        &lt;value&gt;22&lt;/value&gt;_x000D_
      &lt;/setting&gt;_x000D_
      &lt;setting name="FruchtermanReingoldC" serializeAs="String"&gt;_x000D_
        &lt;value&gt;1.5&lt;/value&gt;_x000D_
      &lt;/setting&gt;_x000D_
      &lt;setting name="BoxLayoutAlgorithm" serializeAs="String"&gt;_x000D_
        &lt;value&gt;Treemap&lt;/value&gt;_x000D_
      &lt;/setting&gt;_x000D_
      &lt;setting name="IntergroupEdgeStyle" serializeAs="String"&gt;_x000D_
        &lt;value&gt;Show&lt;/value&gt;_x000D_
      &lt;/setting&gt;_x000D_
      &lt;setting name="LayoutStyle" serializeAs="String"&gt;_x000D_
        &lt;value&gt;Normal&lt;/value&gt;_x000D_
      &lt;/setting&gt;_x000D_
      &lt;setting name="Margin" serializeAs="String"&gt;_x000D_
        &lt;value&gt;6&lt;/value&gt;_x000D_
      &lt;/setting&gt;_x000D_
    &lt;/LayoutUserSettings&gt;_x000D_
    &lt;DynamicFiltersUserSettings&gt;_x000D_
      &lt;setting name="FilterNonNumericCells" serializeAs="String"&gt;_x000D_
        &lt;value&gt;False&lt;/value&gt;_x000D_
      &lt;/setting&gt;_x000D_
      &lt;setting name="FilteredAlpha" serializeAs="String"&gt;_x000D_
        &lt;value&gt;0&lt;/value&gt;_x000D_
      &lt;/setting&gt;_x000D_
    &lt;/DynamicFiltersUserSettings&gt;_x000D_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name="EdgeColor" serializeAs="String"&gt;_x000D_
        &lt;value&gt;Gray&lt;/value&gt;_x000D_
      &lt;/setting&gt;_x000D_
      &lt;setting name="AxisFont" serializeAs="String"&gt;_x000D_
        &lt;value&gt;Microsoft Sans Serif, 8.25pt&lt;/value&gt;_x000D_
      &lt;/setting&gt;_x000D_
      &lt;setting name="EdgeBezierDisplacementFactor" serializeAs="String"&gt;_x000D_
        &lt;value&gt;0.2&lt;/value&gt;_x000D_
      &lt;/setting&gt;_x000D_
      &lt;setting name="BackgroundImageUri" serializeAs="String"&gt;_x000D_
        &lt;value /&gt;_x000D_
      &lt;/setting&gt;_x000D_
      &lt;setting name="VertexRadius" serializeAs="String"&gt;_x000D_
        &lt;value&gt;1.5&lt;/value&gt;_x000D_
      &lt;/setting&gt;_x000D_
      &lt;setting name="EdgeWidth" serializeAs="String"&gt;_x000D_
        &lt;value&gt;1&lt;/value&gt;_x000D_
      &lt;/setting&gt;_x000D_
      &lt;setting name="RelativeArrowSize" serializeAs="String"&gt;_x000D_
        &lt;value&gt;4&lt;/value&gt;_x000D_
      &lt;/setting&gt;_x000D_
      &lt;setting name="VertexEffect" serializeAs="String"&gt;_x000D_
        &lt;value&gt;None&lt;/value&gt;_x000D_
      &lt;/setting&gt;_x000D_
      &lt;setting name="VertexRelativeOuterGlowSize" serializeAs="String"&gt;_x000D_
        &lt;value&gt;3&lt;/value&gt;_x000D_
      &lt;/setting&gt;_x000D_
      &lt;setting name="VertexColor" serializeAs="String"&gt;_x000D_
        &lt;value&gt;Black&lt;/value&gt;_x000D_
      &lt;/setting&gt;_x000D_
      &lt;setting name="VertexAlpha" serializeAs="String"&gt;_x000D_
        &lt;value&gt;100&lt;/value&gt;_x000D_
      &lt;/setting&gt;_x000D_
      &lt;setting name="LabelUserSettings" serializeAs="String"&gt;_x000D_
        &lt;value&gt;Microsoft Sans Serif, 8.25pt	White	BottomCenter	2147483647	2147483647	Black	True	200	Black	86	MiddleCenter	Microsoft Sans Serif, 8.25pt	Microsoft Sans Serif, 14.25pt&lt;/value&gt;_x000D_
      &lt;/setting&gt;_x000D_
      &lt;setting name="SelectedVertexColor" serializeAs="String"&gt;_x000D_
        &lt;value&gt;Red&lt;/value&gt;_x000D_
      &lt;/setting&gt;_x000D_
      &lt;setting name="BackColor" serializeAs="String"&gt;_x000D_
        &lt;value&gt;White&lt;/value&gt;_x000D_
      &lt;/setting&gt;_x000D_
      &lt;setting name="AutoSelect" serializeAs="String"&gt;_x000D_
        &lt;value&gt;True&lt;/value&gt;_x000D_
      &lt;/setting&gt;_x000D_
      &lt;setting name="EdgeAlpha" serializeAs="String"&gt;_x000D_
        &lt;value&gt;100&lt;/value&gt;_x000D_
      &lt;/setting&gt;_x000D_
      &lt;setting name="AutoReadWorkbook" serializeAs="String"&gt;_x000D_
        &lt;value&gt;True&lt;/value&gt;_x000D_
      &lt;/setting&gt;_x000D_
      &lt;setting name="EdgeBundlerStraightening" serializeAs="String"&gt;_x000D_
        &lt;value&gt;0.15&lt;/value&gt;_x000D_
      &lt;/setting&gt;_x000D_
      &lt;setting name="VertexImageSize" serializeAs="String"&gt;_x000D_
        &lt;value&gt;100&lt;/value&gt;_x000D_
      &lt;/setting&gt;_x000D_
      &lt;setting name="SelectedEdgeColor" serializeAs="String"&gt;_x000D_
        &lt;value&gt;Red&lt;/value&gt;_x000D_
      &lt;/setting&gt;_x000D_
      &lt;setting name="VertexShape" serializeAs="String"&gt;_x000D_
        &lt;value&gt;Disk&lt;/value&gt;_x000D_
      &lt;/setting&gt;_x000D_
      &lt;setting name="EdgeCurveStyle" serializeAs="String"&gt;_x000D_
        &lt;value&gt;Straight&lt;/value&gt;_x000D_
      &lt;/setting&gt;_x000D_
    &lt;/GeneralUserSettings4&gt;_x000D_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&lt;/userSettings&gt;_x000D_
&lt;/configura</t>
  </si>
  <si>
    <t>Workbook Settings 2</t>
  </si>
  <si>
    <t>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</si>
</sst>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95">
    <xf numFmtId="0" fontId="0" fillId="0" borderId="0" xfId="0"/>
    <xf numFmtId="49" fontId="0" fillId="0" borderId="0" xfId="0" applyNumberFormat="1"/>
    <xf numFmtId="1"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Font="1"/>
    <xf numFmtId="4" fontId="0" fillId="0" borderId="0" xfId="0" applyNumberFormat="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ill="1" applyBorder="1"/>
    <xf numFmtId="0" fontId="0" fillId="8" borderId="6" xfId="0" applyFill="1" applyBorder="1"/>
    <xf numFmtId="4" fontId="0" fillId="9" borderId="5" xfId="0" applyNumberFormat="1" applyFill="1" applyBorder="1"/>
    <xf numFmtId="0" fontId="0" fillId="9" borderId="6" xfId="0" applyFill="1" applyBorder="1"/>
    <xf numFmtId="4" fontId="0" fillId="9" borderId="7" xfId="0" applyNumberFormat="1" applyFill="1" applyBorder="1"/>
    <xf numFmtId="0" fontId="0" fillId="9" borderId="0" xfId="0" applyFill="1"/>
    <xf numFmtId="0" fontId="0" fillId="8" borderId="5" xfId="0" applyFill="1" applyBorder="1"/>
    <xf numFmtId="0" fontId="0" fillId="9" borderId="5" xfId="0" applyFill="1" applyBorder="1"/>
    <xf numFmtId="0" fontId="0" fillId="9" borderId="7" xfId="0"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5" fillId="4" borderId="11" xfId="5" applyNumberFormat="1" applyBorder="1" applyAlignme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49" fontId="0" fillId="0" borderId="0" xfId="3" applyNumberFormat="1" applyFont="1" applyBorder="1" applyAlignment="1">
      <alignment wrapText="1"/>
    </xf>
    <xf numFmtId="0" fontId="0" fillId="5" borderId="11" xfId="4" applyNumberFormat="1" applyFont="1" applyBorder="1" applyAlignment="1">
      <alignment wrapText="1"/>
    </xf>
    <xf numFmtId="164" fontId="0" fillId="5" borderId="11" xfId="4" applyNumberFormat="1" applyFont="1" applyBorder="1" applyAlignment="1">
      <alignment wrapText="1"/>
    </xf>
    <xf numFmtId="0" fontId="11" fillId="5" borderId="11" xfId="4" applyNumberFormat="1" applyFont="1" applyBorder="1" applyAlignment="1">
      <alignment wrapText="1"/>
    </xf>
    <xf numFmtId="1" fontId="0" fillId="5" borderId="11" xfId="4" applyNumberFormat="1" applyFont="1" applyBorder="1" applyAlignment="1">
      <alignment wrapText="1"/>
    </xf>
    <xf numFmtId="49" fontId="6" fillId="6" borderId="11" xfId="6" applyNumberFormat="1" applyBorder="1" applyAlignment="1">
      <alignment wrapText="1"/>
    </xf>
    <xf numFmtId="0" fontId="6" fillId="6" borderId="11" xfId="6" applyNumberFormat="1" applyBorder="1" applyAlignment="1">
      <alignment wrapText="1"/>
    </xf>
    <xf numFmtId="0" fontId="5" fillId="4" borderId="11" xfId="5" applyNumberFormat="1" applyBorder="1" applyAlignment="1">
      <alignment wrapText="1"/>
    </xf>
    <xf numFmtId="0" fontId="11" fillId="2" borderId="11" xfId="1" applyNumberFormat="1" applyFont="1" applyBorder="1" applyAlignment="1">
      <alignment wrapText="1"/>
    </xf>
    <xf numFmtId="0" fontId="0" fillId="0" borderId="0" xfId="2" applyNumberFormat="1" applyFont="1" applyBorder="1" applyAlignment="1">
      <alignment wrapText="1"/>
    </xf>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0" borderId="0" xfId="2" applyNumberFormat="1" applyFont="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99">
    <dxf>
      <numFmt numFmtId="30" formatCode="@"/>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98"/>
      <tableStyleElement type="headerRow" dxfId="97"/>
    </tableStyle>
    <tableStyle name="NodeXL Table" pivot="0" count="1" xr9:uid="{00000000-0011-0000-FFFF-FFFF01000000}">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BDBB-4D18-801C-A7483E3E2747}"/>
            </c:ext>
          </c:extLst>
        </c:ser>
        <c:dLbls>
          <c:showLegendKey val="0"/>
          <c:showVal val="0"/>
          <c:showCatName val="0"/>
          <c:showSerName val="0"/>
          <c:showPercent val="0"/>
          <c:showBubbleSize val="0"/>
        </c:dLbls>
        <c:gapWidth val="0"/>
        <c:axId val="1190537248"/>
        <c:axId val="1190542144"/>
      </c:barChart>
      <c:catAx>
        <c:axId val="11905372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90542144"/>
        <c:crosses val="autoZero"/>
        <c:auto val="1"/>
        <c:lblAlgn val="ctr"/>
        <c:lblOffset val="100"/>
        <c:noMultiLvlLbl val="0"/>
      </c:catAx>
      <c:valAx>
        <c:axId val="11905421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72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138E-454F-8633-C3462EEC7703}"/>
            </c:ext>
          </c:extLst>
        </c:ser>
        <c:dLbls>
          <c:showLegendKey val="0"/>
          <c:showVal val="0"/>
          <c:showCatName val="0"/>
          <c:showSerName val="0"/>
          <c:showPercent val="0"/>
          <c:showBubbleSize val="0"/>
        </c:dLbls>
        <c:gapWidth val="0"/>
        <c:axId val="1190542688"/>
        <c:axId val="1190537792"/>
      </c:barChart>
      <c:catAx>
        <c:axId val="119054268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90537792"/>
        <c:crosses val="autoZero"/>
        <c:auto val="1"/>
        <c:lblAlgn val="ctr"/>
        <c:lblOffset val="100"/>
        <c:noMultiLvlLbl val="0"/>
      </c:catAx>
      <c:valAx>
        <c:axId val="11905377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26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DCAE-4C63-A4C9-50F21DF1C8F4}"/>
            </c:ext>
          </c:extLst>
        </c:ser>
        <c:dLbls>
          <c:showLegendKey val="0"/>
          <c:showVal val="0"/>
          <c:showCatName val="0"/>
          <c:showSerName val="0"/>
          <c:showPercent val="0"/>
          <c:showBubbleSize val="0"/>
        </c:dLbls>
        <c:gapWidth val="0"/>
        <c:axId val="1190539424"/>
        <c:axId val="1190543232"/>
      </c:barChart>
      <c:catAx>
        <c:axId val="119053942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90543232"/>
        <c:crosses val="autoZero"/>
        <c:auto val="1"/>
        <c:lblAlgn val="ctr"/>
        <c:lblOffset val="100"/>
        <c:noMultiLvlLbl val="0"/>
      </c:catAx>
      <c:valAx>
        <c:axId val="11905432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4F72-465F-9206-BD4A76337DD0}"/>
            </c:ext>
          </c:extLst>
        </c:ser>
        <c:dLbls>
          <c:showLegendKey val="0"/>
          <c:showVal val="0"/>
          <c:showCatName val="0"/>
          <c:showSerName val="0"/>
          <c:showPercent val="0"/>
          <c:showBubbleSize val="0"/>
        </c:dLbls>
        <c:gapWidth val="0"/>
        <c:axId val="1190543776"/>
        <c:axId val="1190548128"/>
      </c:barChart>
      <c:catAx>
        <c:axId val="119054377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90548128"/>
        <c:crosses val="autoZero"/>
        <c:auto val="1"/>
        <c:lblAlgn val="ctr"/>
        <c:lblOffset val="100"/>
        <c:noMultiLvlLbl val="0"/>
      </c:catAx>
      <c:valAx>
        <c:axId val="11905481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37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Metrics'!$M$2:$M$41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C3F8-4FA3-BB8B-83F61B482832}"/>
            </c:ext>
          </c:extLst>
        </c:ser>
        <c:dLbls>
          <c:showLegendKey val="0"/>
          <c:showVal val="0"/>
          <c:showCatName val="0"/>
          <c:showSerName val="0"/>
          <c:showPercent val="0"/>
          <c:showBubbleSize val="0"/>
        </c:dLbls>
        <c:gapWidth val="0"/>
        <c:axId val="1190536704"/>
        <c:axId val="1190549760"/>
      </c:barChart>
      <c:catAx>
        <c:axId val="1190536704"/>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90549760"/>
        <c:crosses val="autoZero"/>
        <c:auto val="1"/>
        <c:lblAlgn val="ctr"/>
        <c:lblOffset val="100"/>
        <c:noMultiLvlLbl val="0"/>
      </c:catAx>
      <c:valAx>
        <c:axId val="11905497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6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80E2-4FFF-B153-84FC989B59A4}"/>
            </c:ext>
          </c:extLst>
        </c:ser>
        <c:dLbls>
          <c:showLegendKey val="0"/>
          <c:showVal val="0"/>
          <c:showCatName val="0"/>
          <c:showSerName val="0"/>
          <c:showPercent val="0"/>
          <c:showBubbleSize val="0"/>
        </c:dLbls>
        <c:gapWidth val="0"/>
        <c:axId val="1190544320"/>
        <c:axId val="1190548672"/>
      </c:barChart>
      <c:catAx>
        <c:axId val="119054432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90548672"/>
        <c:crosses val="autoZero"/>
        <c:auto val="1"/>
        <c:lblAlgn val="ctr"/>
        <c:lblOffset val="100"/>
        <c:noMultiLvlLbl val="0"/>
      </c:catAx>
      <c:valAx>
        <c:axId val="1190548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4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Metrics'!$S$2:$S$41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F336-4594-80E0-0A4B6FE33F3F}"/>
            </c:ext>
          </c:extLst>
        </c:ser>
        <c:dLbls>
          <c:showLegendKey val="0"/>
          <c:showVal val="0"/>
          <c:showCatName val="0"/>
          <c:showSerName val="0"/>
          <c:showPercent val="0"/>
          <c:showBubbleSize val="0"/>
        </c:dLbls>
        <c:gapWidth val="0"/>
        <c:axId val="1190545408"/>
        <c:axId val="1190545952"/>
      </c:barChart>
      <c:catAx>
        <c:axId val="119054540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90545952"/>
        <c:crosses val="autoZero"/>
        <c:auto val="1"/>
        <c:lblAlgn val="ctr"/>
        <c:lblOffset val="100"/>
        <c:noMultiLvlLbl val="0"/>
      </c:catAx>
      <c:valAx>
        <c:axId val="1190545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54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EF0B-4FFE-AD37-7B9878261309}"/>
            </c:ext>
          </c:extLst>
        </c:ser>
        <c:dLbls>
          <c:showLegendKey val="0"/>
          <c:showVal val="0"/>
          <c:showCatName val="0"/>
          <c:showSerName val="0"/>
          <c:showPercent val="0"/>
          <c:showBubbleSize val="0"/>
        </c:dLbls>
        <c:gapWidth val="0"/>
        <c:axId val="1190546496"/>
        <c:axId val="1190547040"/>
      </c:barChart>
      <c:catAx>
        <c:axId val="119054649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90547040"/>
        <c:crosses val="autoZero"/>
        <c:auto val="1"/>
        <c:lblAlgn val="ctr"/>
        <c:lblOffset val="100"/>
        <c:noMultiLvlLbl val="0"/>
      </c:catAx>
      <c:valAx>
        <c:axId val="119054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1</c:v>
                </c:pt>
              </c:strCache>
            </c:strRef>
          </c:tx>
          <c:spPr>
            <a:solidFill>
              <a:schemeClr val="accent1"/>
            </a:solidFill>
          </c:spPr>
          <c:invertIfNegative val="0"/>
          <c:cat>
            <c:numRef>
              <c:f>'Overall Metrics'!$T$2:$T$41</c:f>
              <c:numCache>
                <c:formatCode>#,##0.00</c:formatCode>
                <c:ptCount val="40"/>
                <c:pt idx="0">
                  <c:v>830.41400146484375</c:v>
                </c:pt>
                <c:pt idx="1">
                  <c:v>1084.2149281221277</c:v>
                </c:pt>
                <c:pt idx="2">
                  <c:v>1338.0158547794117</c:v>
                </c:pt>
                <c:pt idx="3">
                  <c:v>1591.8167814366957</c:v>
                </c:pt>
                <c:pt idx="4">
                  <c:v>1845.6177080939797</c:v>
                </c:pt>
                <c:pt idx="5">
                  <c:v>2099.4186347512637</c:v>
                </c:pt>
                <c:pt idx="6">
                  <c:v>2353.2195614085476</c:v>
                </c:pt>
                <c:pt idx="7">
                  <c:v>2607.0204880658316</c:v>
                </c:pt>
                <c:pt idx="8">
                  <c:v>2860.8214147231156</c:v>
                </c:pt>
                <c:pt idx="9">
                  <c:v>3114.6223413803996</c:v>
                </c:pt>
                <c:pt idx="10">
                  <c:v>3368.4232680376836</c:v>
                </c:pt>
                <c:pt idx="11">
                  <c:v>3622.2241946949675</c:v>
                </c:pt>
                <c:pt idx="12">
                  <c:v>3876.0251213522515</c:v>
                </c:pt>
                <c:pt idx="13">
                  <c:v>4129.826048009536</c:v>
                </c:pt>
                <c:pt idx="14">
                  <c:v>4383.6269746668204</c:v>
                </c:pt>
                <c:pt idx="15">
                  <c:v>4637.4279013241048</c:v>
                </c:pt>
                <c:pt idx="16">
                  <c:v>4891.2288279813893</c:v>
                </c:pt>
                <c:pt idx="17">
                  <c:v>5145.0297546386737</c:v>
                </c:pt>
                <c:pt idx="18">
                  <c:v>5398.8306812959581</c:v>
                </c:pt>
                <c:pt idx="19">
                  <c:v>5652.6316079532426</c:v>
                </c:pt>
                <c:pt idx="20">
                  <c:v>5906.432534610527</c:v>
                </c:pt>
                <c:pt idx="21">
                  <c:v>6160.2334612678114</c:v>
                </c:pt>
                <c:pt idx="22">
                  <c:v>6414.0343879250959</c:v>
                </c:pt>
                <c:pt idx="23">
                  <c:v>6667.8353145823803</c:v>
                </c:pt>
                <c:pt idx="24">
                  <c:v>6921.6362412396647</c:v>
                </c:pt>
                <c:pt idx="25">
                  <c:v>7175.4371678969492</c:v>
                </c:pt>
                <c:pt idx="26">
                  <c:v>7429.2380945542336</c:v>
                </c:pt>
                <c:pt idx="27">
                  <c:v>7683.039021211518</c:v>
                </c:pt>
                <c:pt idx="28">
                  <c:v>7936.8399478688025</c:v>
                </c:pt>
                <c:pt idx="29">
                  <c:v>8190.6408745260869</c:v>
                </c:pt>
                <c:pt idx="30">
                  <c:v>8444.4418011833714</c:v>
                </c:pt>
                <c:pt idx="31">
                  <c:v>8698.2427278406558</c:v>
                </c:pt>
                <c:pt idx="32">
                  <c:v>8952.0436544979402</c:v>
                </c:pt>
                <c:pt idx="33">
                  <c:v>9205.8445811552247</c:v>
                </c:pt>
                <c:pt idx="34">
                  <c:v>9459.6455078125</c:v>
                </c:pt>
              </c:numCache>
            </c:numRef>
          </c:cat>
          <c:val>
            <c:numRef>
              <c:f>'Overall Metrics'!$U$2:$U$41</c:f>
              <c:numCache>
                <c:formatCode>General</c:formatCode>
                <c:ptCount val="40"/>
                <c:pt idx="0">
                  <c:v>1</c:v>
                </c:pt>
                <c:pt idx="1">
                  <c:v>0</c:v>
                </c:pt>
                <c:pt idx="2">
                  <c:v>0</c:v>
                </c:pt>
                <c:pt idx="3">
                  <c:v>0</c:v>
                </c:pt>
                <c:pt idx="4">
                  <c:v>0</c:v>
                </c:pt>
                <c:pt idx="5">
                  <c:v>1</c:v>
                </c:pt>
                <c:pt idx="6">
                  <c:v>0</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1</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C332-4036-87A2-9DE7C6A7567D}"/>
            </c:ext>
          </c:extLst>
        </c:ser>
        <c:dLbls>
          <c:showLegendKey val="0"/>
          <c:showVal val="0"/>
          <c:showCatName val="0"/>
          <c:showSerName val="0"/>
          <c:showPercent val="0"/>
          <c:showBubbleSize val="0"/>
        </c:dLbls>
        <c:gapWidth val="0"/>
        <c:axId val="1190549216"/>
        <c:axId val="1190550304"/>
      </c:barChart>
      <c:catAx>
        <c:axId val="1190549216"/>
        <c:scaling>
          <c:orientation val="minMax"/>
        </c:scaling>
        <c:delete val="1"/>
        <c:axPos val="b"/>
        <c:numFmt formatCode="#,##0.00" sourceLinked="1"/>
        <c:majorTickMark val="out"/>
        <c:minorTickMark val="none"/>
        <c:tickLblPos val="none"/>
        <c:crossAx val="1190550304"/>
        <c:crosses val="autoZero"/>
        <c:auto val="1"/>
        <c:lblAlgn val="ctr"/>
        <c:lblOffset val="100"/>
        <c:noMultiLvlLbl val="0"/>
      </c:catAx>
      <c:valAx>
        <c:axId val="1190550304"/>
        <c:scaling>
          <c:orientation val="minMax"/>
        </c:scaling>
        <c:delete val="1"/>
        <c:axPos val="l"/>
        <c:numFmt formatCode="General" sourceLinked="1"/>
        <c:majorTickMark val="out"/>
        <c:minorTickMark val="none"/>
        <c:tickLblPos val="none"/>
        <c:crossAx val="119054921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65</xdr:row>
      <xdr:rowOff>38100</xdr:rowOff>
    </xdr:from>
    <xdr:to>
      <xdr:col>1</xdr:col>
      <xdr:colOff>918209</xdr:colOff>
      <xdr:row>72</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79</xdr:row>
      <xdr:rowOff>38100</xdr:rowOff>
    </xdr:from>
    <xdr:to>
      <xdr:col>1</xdr:col>
      <xdr:colOff>918209</xdr:colOff>
      <xdr:row>86</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93</xdr:row>
      <xdr:rowOff>28575</xdr:rowOff>
    </xdr:from>
    <xdr:to>
      <xdr:col>1</xdr:col>
      <xdr:colOff>918209</xdr:colOff>
      <xdr:row>100</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107</xdr:row>
      <xdr:rowOff>9525</xdr:rowOff>
    </xdr:from>
    <xdr:to>
      <xdr:col>1</xdr:col>
      <xdr:colOff>918210</xdr:colOff>
      <xdr:row>114</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121</xdr:row>
      <xdr:rowOff>19050</xdr:rowOff>
    </xdr:from>
    <xdr:to>
      <xdr:col>2</xdr:col>
      <xdr:colOff>0</xdr:colOff>
      <xdr:row>128</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135</xdr:row>
      <xdr:rowOff>19050</xdr:rowOff>
    </xdr:from>
    <xdr:to>
      <xdr:col>1</xdr:col>
      <xdr:colOff>918210</xdr:colOff>
      <xdr:row>142</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163</xdr:row>
      <xdr:rowOff>9525</xdr:rowOff>
    </xdr:from>
    <xdr:to>
      <xdr:col>1</xdr:col>
      <xdr:colOff>918210</xdr:colOff>
      <xdr:row>170</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149</xdr:row>
      <xdr:rowOff>0</xdr:rowOff>
    </xdr:from>
    <xdr:to>
      <xdr:col>1</xdr:col>
      <xdr:colOff>918210</xdr:colOff>
      <xdr:row>156</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N15" totalsRowShown="0" headerRowDxfId="95" dataDxfId="94">
  <autoFilter ref="A2:N15" xr:uid="{00000000-0009-0000-0100-000001000000}"/>
  <tableColumns count="14">
    <tableColumn id="1" xr3:uid="{00000000-0010-0000-0000-000001000000}" name="Vertex 1" dataDxfId="93" dataCellStyle="NodeXL Required"/>
    <tableColumn id="2" xr3:uid="{00000000-0010-0000-0000-000002000000}" name="Vertex 2" dataDxfId="92" dataCellStyle="NodeXL Required"/>
    <tableColumn id="3" xr3:uid="{00000000-0010-0000-0000-000003000000}" name="Color" dataDxfId="91" dataCellStyle="NodeXL Visual Property"/>
    <tableColumn id="4" xr3:uid="{00000000-0010-0000-0000-000004000000}" name="Width" dataDxfId="90" dataCellStyle="NodeXL Visual Property"/>
    <tableColumn id="11" xr3:uid="{00000000-0010-0000-0000-00000B000000}" name="Style" dataDxfId="89" dataCellStyle="NodeXL Visual Property"/>
    <tableColumn id="5" xr3:uid="{00000000-0010-0000-0000-000005000000}" name="Opacity" dataDxfId="88" dataCellStyle="NodeXL Visual Property"/>
    <tableColumn id="6" xr3:uid="{00000000-0010-0000-0000-000006000000}" name="Visibility" dataDxfId="87" dataCellStyle="NodeXL Visual Property"/>
    <tableColumn id="10" xr3:uid="{00000000-0010-0000-0000-00000A000000}" name="Label" dataDxfId="86" dataCellStyle="NodeXL Label"/>
    <tableColumn id="12" xr3:uid="{00000000-0010-0000-0000-00000C000000}" name="Label Text Color" dataDxfId="85" dataCellStyle="NodeXL Label"/>
    <tableColumn id="13" xr3:uid="{00000000-0010-0000-0000-00000D000000}" name="Label Font Size" dataDxfId="84" dataCellStyle="NodeXL Label"/>
    <tableColumn id="14" xr3:uid="{00000000-0010-0000-0000-00000E000000}" name="Reciprocated?" dataDxfId="83" dataCellStyle="NodeXL Graph Metric"/>
    <tableColumn id="7" xr3:uid="{00000000-0010-0000-0000-000007000000}" name="ID" dataDxfId="82" dataCellStyle="NodeXL Do Not Edit"/>
    <tableColumn id="9" xr3:uid="{00000000-0010-0000-0000-000009000000}" name="Dynamic Filter" dataDxfId="81" dataCellStyle="NodeXL Do Not Edit">
      <calculatedColumnFormula xml:space="preserve"> IF(AND(TRUE), TRUE, FALSE)</calculatedColumnFormula>
    </tableColumn>
    <tableColumn id="8" xr3:uid="{00000000-0010-0000-0000-000008000000}" name="Add Your Own Columns Here"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4" totalsRowShown="0" headerRowDxfId="1">
  <autoFilter ref="M1:P4"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C8" totalsRowShown="0" headerRowDxfId="79" dataDxfId="78">
  <autoFilter ref="A2:AC8" xr:uid="{00000000-0009-0000-0100-000002000000}"/>
  <tableColumns count="29">
    <tableColumn id="1" xr3:uid="{00000000-0010-0000-0100-000001000000}" name="Vertex" dataDxfId="77" dataCellStyle="NodeXL Required"/>
    <tableColumn id="2" xr3:uid="{00000000-0010-0000-0100-000002000000}" name="Color" dataDxfId="76" dataCellStyle="NodeXL Visual Property"/>
    <tableColumn id="5" xr3:uid="{00000000-0010-0000-0100-000005000000}" name="Shape" dataDxfId="75" dataCellStyle="NodeXL Visual Property"/>
    <tableColumn id="6" xr3:uid="{00000000-0010-0000-0100-000006000000}" name="Size" dataDxfId="74" dataCellStyle="NodeXL Visual Property"/>
    <tableColumn id="4" xr3:uid="{00000000-0010-0000-0100-000004000000}" name="Opacity" dataDxfId="73" dataCellStyle="NodeXL Visual Property"/>
    <tableColumn id="7" xr3:uid="{00000000-0010-0000-0100-000007000000}" name="Image File" dataDxfId="72" dataCellStyle="NodeXL Visual Property"/>
    <tableColumn id="3" xr3:uid="{00000000-0010-0000-0100-000003000000}" name="Visibility" dataDxfId="71" dataCellStyle="NodeXL Visual Property"/>
    <tableColumn id="10" xr3:uid="{00000000-0010-0000-0100-00000A000000}" name="Label" dataDxfId="0" dataCellStyle="NodeXL Required"/>
    <tableColumn id="16" xr3:uid="{00000000-0010-0000-0100-000010000000}" name="Label Fill Color" dataDxfId="70" dataCellStyle="NodeXL Label"/>
    <tableColumn id="9" xr3:uid="{00000000-0010-0000-0100-000009000000}" name="Label Position" dataDxfId="69" dataCellStyle="NodeXL Label"/>
    <tableColumn id="8" xr3:uid="{00000000-0010-0000-0100-000008000000}" name="Tooltip" dataDxfId="68" dataCellStyle="NodeXL Label"/>
    <tableColumn id="18" xr3:uid="{00000000-0010-0000-0100-000012000000}" name="Layout Order" dataDxfId="67" dataCellStyle="NodeXL Layout"/>
    <tableColumn id="13" xr3:uid="{00000000-0010-0000-0100-00000D000000}" name="X" dataDxfId="66" dataCellStyle="NodeXL Layout"/>
    <tableColumn id="14" xr3:uid="{00000000-0010-0000-0100-00000E000000}" name="Y" dataDxfId="65" dataCellStyle="NodeXL Layout"/>
    <tableColumn id="12" xr3:uid="{00000000-0010-0000-0100-00000C000000}" name="Locked?" dataDxfId="64" dataCellStyle="NodeXL Layout"/>
    <tableColumn id="19" xr3:uid="{00000000-0010-0000-0100-000013000000}" name="Polar R" dataDxfId="63" dataCellStyle="NodeXL Layout"/>
    <tableColumn id="20" xr3:uid="{00000000-0010-0000-0100-000014000000}" name="Polar Angle" dataDxfId="62" dataCellStyle="NodeXL Layout"/>
    <tableColumn id="21" xr3:uid="{00000000-0010-0000-0100-000015000000}" name="Degree" dataDxfId="61" dataCellStyle="NodeXL Graph Metric"/>
    <tableColumn id="22" xr3:uid="{00000000-0010-0000-0100-000016000000}" name="In-Degree" dataDxfId="60" dataCellStyle="NodeXL Graph Metric"/>
    <tableColumn id="23" xr3:uid="{00000000-0010-0000-0100-000017000000}" name="Out-Degree" dataDxfId="59" dataCellStyle="NodeXL Graph Metric"/>
    <tableColumn id="24" xr3:uid="{00000000-0010-0000-0100-000018000000}" name="Betweenness Centrality" dataDxfId="58" dataCellStyle="NodeXL Graph Metric"/>
    <tableColumn id="25" xr3:uid="{00000000-0010-0000-0100-000019000000}" name="Closeness Centrality" dataDxfId="57" dataCellStyle="NodeXL Graph Metric"/>
    <tableColumn id="26" xr3:uid="{00000000-0010-0000-0100-00001A000000}" name="Eigenvector Centrality" dataDxfId="56" dataCellStyle="NodeXL Graph Metric"/>
    <tableColumn id="15" xr3:uid="{00000000-0010-0000-0100-00000F000000}" name="PageRank" dataDxfId="55" dataCellStyle="NodeXL Graph Metric"/>
    <tableColumn id="27" xr3:uid="{00000000-0010-0000-0100-00001B000000}" name="Clustering Coefficient" dataDxfId="54" dataCellStyle="NodeXL Graph Metric"/>
    <tableColumn id="29" xr3:uid="{00000000-0010-0000-0100-00001D000000}" name="Reciprocated Vertex Pair Ratio" dataDxfId="53" dataCellStyle="NodeXL Graph Metric"/>
    <tableColumn id="11" xr3:uid="{00000000-0010-0000-0100-00000B000000}" name="ID" dataDxfId="52" dataCellStyle="NodeXL Do Not Edit"/>
    <tableColumn id="28" xr3:uid="{00000000-0010-0000-0100-00001C000000}" name="Dynamic Filter" dataDxfId="51" dataCellStyle="NodeXL Do Not Edit">
      <calculatedColumnFormula xml:space="preserve"> IF(AND(OR(NOT(ISNUMBER(Vertices[[#This Row],[Size]])), Vertices[[#This Row],[Size]] &gt;= Misc!$O$2), OR(NOT(ISNUMBER(Vertices[[#This Row],[Size]])), Vertices[[#This Row],[Size]] &lt;= Misc!$P$2),OR(NOT(ISNUMBER(Vertices[[#This Row],[X]])), Vertices[[#This Row],[X]] &gt;= Misc!$O$3), OR(NOT(ISNUMBER(Vertices[[#This Row],[X]])), Vertices[[#This Row],[X]] &lt;= Misc!$P$3),OR(NOT(ISNUMBER(Vertices[[#This Row],[Y]])), Vertices[[#This Row],[Y]] &gt;= Misc!$O$4), OR(NOT(ISNUMBER(Vertices[[#This Row],[Y]])), Vertices[[#This Row],[Y]] &lt;= Misc!$P$4),TRUE), TRUE, FALSE)</calculatedColumnFormula>
    </tableColumn>
    <tableColumn id="17" xr3:uid="{00000000-0010-0000-0100-000011000000}" name="Add Your Own Columns Here" dataDxfId="50" dataCellStyle="NodeXL Other 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49">
  <autoFilter ref="A2:X3" xr:uid="{00000000-0009-0000-0100-000004000000}"/>
  <tableColumns count="24">
    <tableColumn id="1" xr3:uid="{00000000-0010-0000-0200-000001000000}" name="Group" dataDxfId="48" dataCellStyle="NodeXL Required"/>
    <tableColumn id="2" xr3:uid="{00000000-0010-0000-0200-000002000000}" name="Vertex Color" dataDxfId="47" dataCellStyle="NodeXL Visual Property"/>
    <tableColumn id="3" xr3:uid="{00000000-0010-0000-0200-000003000000}" name="Vertex Shape" dataDxfId="46" dataCellStyle="NodeXL Visual Property"/>
    <tableColumn id="22" xr3:uid="{00000000-0010-0000-0200-000016000000}" name="Visibility" dataDxfId="45" dataCellStyle="NodeXL Visual Property"/>
    <tableColumn id="4" xr3:uid="{00000000-0010-0000-0200-000004000000}" name="Collapsed?" dataCellStyle="NodeXL Visual Property"/>
    <tableColumn id="18" xr3:uid="{00000000-0010-0000-0200-000012000000}" name="Label" dataDxfId="44"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3" dataCellStyle="NodeXL Do Not Edit"/>
    <tableColumn id="19" xr3:uid="{00000000-0010-0000-0200-000013000000}" name="Collapsed Properties" dataDxfId="42" dataCellStyle="NodeXL Do Not Edit"/>
    <tableColumn id="5" xr3:uid="{00000000-0010-0000-0200-000005000000}" name="Vertices" dataDxfId="41" dataCellStyle="NodeXL Graph Metric"/>
    <tableColumn id="7" xr3:uid="{00000000-0010-0000-0200-000007000000}" name="Unique Edges" dataDxfId="40" dataCellStyle="NodeXL Graph Metric"/>
    <tableColumn id="8" xr3:uid="{00000000-0010-0000-0200-000008000000}" name="Edges With Duplicates" dataDxfId="39" dataCellStyle="NodeXL Graph Metric"/>
    <tableColumn id="9" xr3:uid="{00000000-0010-0000-0200-000009000000}" name="Total Edges" dataDxfId="38" dataCellStyle="NodeXL Graph Metric"/>
    <tableColumn id="10" xr3:uid="{00000000-0010-0000-0200-00000A000000}" name="Self-Loops" dataDxfId="37" dataCellStyle="NodeXL Graph Metric"/>
    <tableColumn id="24" xr3:uid="{00000000-0010-0000-0200-000018000000}" name="Reciprocated Vertex Pair Ratio" dataDxfId="36" dataCellStyle="NodeXL Graph Metric"/>
    <tableColumn id="25" xr3:uid="{00000000-0010-0000-0200-000019000000}" name="Reciprocated Edge Ratio" dataDxfId="35" dataCellStyle="NodeXL Graph Metric"/>
    <tableColumn id="11" xr3:uid="{00000000-0010-0000-0200-00000B000000}" name="Connected Components" dataDxfId="34" dataCellStyle="NodeXL Graph Metric"/>
    <tableColumn id="12" xr3:uid="{00000000-0010-0000-0200-00000C000000}" name="Single-Vertex Connected Components" dataDxfId="33" dataCellStyle="NodeXL Graph Metric"/>
    <tableColumn id="13" xr3:uid="{00000000-0010-0000-0200-00000D000000}" name="Maximum Vertices in a Connected Component" dataDxfId="32" dataCellStyle="NodeXL Graph Metric"/>
    <tableColumn id="14" xr3:uid="{00000000-0010-0000-0200-00000E000000}" name="Maximum Edges in a Connected Component" dataDxfId="31" dataCellStyle="NodeXL Graph Metric"/>
    <tableColumn id="15" xr3:uid="{00000000-0010-0000-0200-00000F000000}" name="Maximum Geodesic Distance (Diameter)" dataDxfId="30" dataCellStyle="NodeXL Graph Metric"/>
    <tableColumn id="16" xr3:uid="{00000000-0010-0000-0200-000010000000}" name="Average Geodesic Distance" dataDxfId="29" dataCellStyle="NodeXL Graph Metric"/>
    <tableColumn id="17" xr3:uid="{00000000-0010-0000-0200-000011000000}" name="Graph Density" dataDxfId="28"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27" dataDxfId="26">
  <autoFilter ref="A1:C2" xr:uid="{00000000-0009-0000-0100-000005000000}"/>
  <tableColumns count="3">
    <tableColumn id="1" xr3:uid="{00000000-0010-0000-0300-000001000000}" name="Group" dataDxfId="25"/>
    <tableColumn id="2" xr3:uid="{00000000-0010-0000-0300-000002000000}" name="Vertex" dataDxfId="24"/>
    <tableColumn id="3" xr3:uid="{00000000-0010-0000-0300-000003000000}" name="Vertex ID" dataDxfId="23"/>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57" totalsRowShown="0" dataCellStyle="NodeXL Graph Metric">
  <autoFilter ref="A1:B57" xr:uid="{00000000-0009-0000-0100-000006000000}"/>
  <tableColumns count="2">
    <tableColumn id="1" xr3:uid="{00000000-0010-0000-0400-000001000000}" name="Graph Metric" dataDxfId="22" dataCellStyle="NodeXL Graph Metric"/>
    <tableColumn id="2" xr3:uid="{00000000-0010-0000-0400-000002000000}" name="Value" dataDxfId="21"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20"/>
    <tableColumn id="2" xr3:uid="{00000000-0010-0000-0500-000002000000}" name="Degree Frequency" dataDxfId="19">
      <calculatedColumnFormula>COUNTIF(Vertices[Degree], "&gt;= " &amp; D2) - COUNTIF(Vertices[Degree], "&gt;=" &amp; D3)</calculatedColumnFormula>
    </tableColumn>
    <tableColumn id="3" xr3:uid="{00000000-0010-0000-0500-000003000000}" name="In-Degree Bin" dataDxfId="18"/>
    <tableColumn id="4" xr3:uid="{00000000-0010-0000-0500-000004000000}" name="In-Degree Frequency" dataDxfId="17">
      <calculatedColumnFormula>COUNTIF(Vertices[In-Degree], "&gt;= " &amp; F2) - COUNTIF(Vertices[In-Degree], "&gt;=" &amp; F3)</calculatedColumnFormula>
    </tableColumn>
    <tableColumn id="5" xr3:uid="{00000000-0010-0000-0500-000005000000}" name="Out-Degree Bin" dataDxfId="16"/>
    <tableColumn id="6" xr3:uid="{00000000-0010-0000-0500-000006000000}" name="Out-Degree Frequency" dataDxfId="15">
      <calculatedColumnFormula>COUNTIF(Vertices[Out-Degree], "&gt;= " &amp; H2) - COUNTIF(Vertices[Out-Degree], "&gt;=" &amp; H3)</calculatedColumnFormula>
    </tableColumn>
    <tableColumn id="7" xr3:uid="{00000000-0010-0000-0500-000007000000}" name="Betweenness Centrality Bin" dataDxfId="14"/>
    <tableColumn id="8" xr3:uid="{00000000-0010-0000-0500-000008000000}" name="Betweenness Centrality Frequency" dataDxfId="13">
      <calculatedColumnFormula>COUNTIF(Vertices[Betweenness Centrality], "&gt;= " &amp; J2) - COUNTIF(Vertices[Betweenness Centrality], "&gt;=" &amp; J3)</calculatedColumnFormula>
    </tableColumn>
    <tableColumn id="9" xr3:uid="{00000000-0010-0000-0500-000009000000}" name="Closeness Centrality Bin" dataDxfId="12"/>
    <tableColumn id="10" xr3:uid="{00000000-0010-0000-0500-00000A000000}" name="Closeness Centrality Frequency" dataDxfId="11">
      <calculatedColumnFormula>COUNTIF(Vertices[Closeness Centrality], "&gt;= " &amp; L2) - COUNTIF(Vertices[Closeness Centrality], "&gt;=" &amp; L3)</calculatedColumnFormula>
    </tableColumn>
    <tableColumn id="11" xr3:uid="{00000000-0010-0000-0500-00000B000000}" name="Eigenvector Centrality Bin" dataDxfId="10"/>
    <tableColumn id="12" xr3:uid="{00000000-0010-0000-0500-00000C000000}" name="Eigenvector Centrality Frequency" dataDxfId="9">
      <calculatedColumnFormula>COUNTIF(Vertices[Eigenvector Centrality], "&gt;= " &amp; N2) - COUNTIF(Vertices[Eigenvector Centrality], "&gt;=" &amp; N3)</calculatedColumnFormula>
    </tableColumn>
    <tableColumn id="18" xr3:uid="{00000000-0010-0000-0500-000012000000}" name="PageRank Bin" dataDxfId="8"/>
    <tableColumn id="17" xr3:uid="{00000000-0010-0000-0500-000011000000}" name="PageRank Frequency" dataDxfId="7">
      <calculatedColumnFormula>COUNTIF(Vertices[Eigenvector Centrality], "&gt;= " &amp; P2) - COUNTIF(Vertices[Eigenvector Centrality], "&gt;=" &amp; P3)</calculatedColumnFormula>
    </tableColumn>
    <tableColumn id="13" xr3:uid="{00000000-0010-0000-0500-00000D000000}" name="Clustering Coefficient Bin" dataDxfId="6"/>
    <tableColumn id="14" xr3:uid="{00000000-0010-0000-0500-00000E000000}" name="Clustering Coefficient Frequency" dataDxfId="5">
      <calculatedColumnFormula>COUNTIF(Vertices[Clustering Coefficient], "&gt;= " &amp; R2) - COUNTIF(Vertices[Clustering Coefficient], "&gt;=" &amp; R3)</calculatedColumnFormula>
    </tableColumn>
    <tableColumn id="15" xr3:uid="{00000000-0010-0000-0500-00000F000000}" name="Dynamic Filter Bin" dataDxfId="4"/>
    <tableColumn id="16" xr3:uid="{00000000-0010-0000-0500-000010000000}" name="Dynamic Filter Frequency" dataDxfId="3">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60:B63" totalsRowShown="0" dataCellStyle="NodeXL Graph Metric">
  <autoFilter ref="A60:B63"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8" totalsRowShown="0" headerRowDxfId="2">
  <autoFilter ref="J1:K8"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23"/>
  <sheetViews>
    <sheetView workbookViewId="0">
      <pane xSplit="2" ySplit="2" topLeftCell="C3" activePane="bottomRight" state="frozen"/>
      <selection pane="topRight" activeCell="C1" sqref="C1"/>
      <selection pane="bottomLeft" activeCell="A3" sqref="A3"/>
      <selection pane="bottomRight" activeCell="H18" sqref="H18"/>
    </sheetView>
  </sheetViews>
  <sheetFormatPr defaultRowHeight="14.5" x14ac:dyDescent="0.35"/>
  <cols>
    <col min="1" max="2" width="10.453125" style="1" customWidth="1"/>
    <col min="3" max="3" width="7.90625" bestFit="1" customWidth="1"/>
    <col min="4" max="4" width="8.6328125" style="2" bestFit="1" customWidth="1"/>
    <col min="5" max="5" width="7.6328125" style="2" bestFit="1" customWidth="1"/>
    <col min="6" max="6" width="9.90625" style="2" bestFit="1" customWidth="1"/>
    <col min="7" max="7" width="11" bestFit="1" customWidth="1"/>
    <col min="8" max="8" width="23" style="1" customWidth="1"/>
    <col min="9" max="9" width="12.36328125" bestFit="1" customWidth="1"/>
    <col min="10" max="10" width="12.453125" bestFit="1" customWidth="1"/>
    <col min="11" max="11" width="15.54296875" hidden="1" customWidth="1"/>
    <col min="12" max="12" width="11" hidden="1" customWidth="1"/>
    <col min="13" max="13" width="10.90625" hidden="1" customWidth="1"/>
    <col min="14" max="14" width="16" bestFit="1" customWidth="1"/>
  </cols>
  <sheetData>
    <row r="1" spans="1:14" x14ac:dyDescent="0.35">
      <c r="C1" s="15" t="s">
        <v>40</v>
      </c>
      <c r="D1" s="16"/>
      <c r="E1" s="16"/>
      <c r="F1" s="16"/>
      <c r="G1" s="15"/>
      <c r="H1" s="13" t="s">
        <v>44</v>
      </c>
      <c r="I1" s="62"/>
      <c r="J1" s="62"/>
      <c r="K1" s="31" t="s">
        <v>43</v>
      </c>
      <c r="L1" s="17" t="s">
        <v>41</v>
      </c>
      <c r="M1" s="17"/>
      <c r="N1" s="14" t="s">
        <v>42</v>
      </c>
    </row>
    <row r="2" spans="1:14" ht="30" customHeight="1" x14ac:dyDescent="0.35">
      <c r="A2" s="10" t="s">
        <v>0</v>
      </c>
      <c r="B2" s="10" t="s">
        <v>1</v>
      </c>
      <c r="C2" s="7" t="s">
        <v>2</v>
      </c>
      <c r="D2" s="7" t="s">
        <v>3</v>
      </c>
      <c r="E2" s="7" t="s">
        <v>130</v>
      </c>
      <c r="F2" s="7" t="s">
        <v>4</v>
      </c>
      <c r="G2" s="7" t="s">
        <v>11</v>
      </c>
      <c r="H2" s="10" t="s">
        <v>47</v>
      </c>
      <c r="I2" s="7" t="s">
        <v>160</v>
      </c>
      <c r="J2" s="7" t="s">
        <v>161</v>
      </c>
      <c r="K2" s="7" t="s">
        <v>165</v>
      </c>
      <c r="L2" s="7" t="s">
        <v>12</v>
      </c>
      <c r="M2" s="7" t="s">
        <v>39</v>
      </c>
      <c r="N2" s="7" t="s">
        <v>26</v>
      </c>
    </row>
    <row r="3" spans="1:14" ht="15" customHeight="1" x14ac:dyDescent="0.35">
      <c r="A3" s="46" t="s">
        <v>174</v>
      </c>
      <c r="B3" s="46" t="s">
        <v>175</v>
      </c>
      <c r="C3" s="50"/>
      <c r="D3" s="51"/>
      <c r="E3" s="63"/>
      <c r="F3" s="52"/>
      <c r="G3" s="50"/>
      <c r="H3" s="54" t="s">
        <v>179</v>
      </c>
      <c r="I3" s="53"/>
      <c r="J3" s="53"/>
      <c r="K3" s="65"/>
      <c r="L3" s="59">
        <v>3</v>
      </c>
      <c r="M3" s="59" t="b">
        <f t="shared" ref="M3:M15" si="0" xml:space="preserve"> IF(AND(TRUE), TRUE, FALSE)</f>
        <v>1</v>
      </c>
      <c r="N3" s="60"/>
    </row>
    <row r="4" spans="1:14" ht="15" customHeight="1" x14ac:dyDescent="0.35">
      <c r="A4" s="46" t="s">
        <v>174</v>
      </c>
      <c r="B4" s="80" t="s">
        <v>176</v>
      </c>
      <c r="C4" s="81"/>
      <c r="D4" s="82"/>
      <c r="E4" s="83"/>
      <c r="F4" s="84"/>
      <c r="G4" s="81"/>
      <c r="H4" s="54" t="s">
        <v>179</v>
      </c>
      <c r="I4" s="86"/>
      <c r="J4" s="86"/>
      <c r="K4" s="87"/>
      <c r="L4" s="88">
        <v>4</v>
      </c>
      <c r="M4" s="88" t="b">
        <f t="shared" si="0"/>
        <v>1</v>
      </c>
      <c r="N4" s="89"/>
    </row>
    <row r="5" spans="1:14" x14ac:dyDescent="0.35">
      <c r="A5" s="46" t="s">
        <v>174</v>
      </c>
      <c r="B5" s="80" t="s">
        <v>177</v>
      </c>
      <c r="C5" s="81"/>
      <c r="D5" s="82"/>
      <c r="E5" s="83"/>
      <c r="F5" s="84"/>
      <c r="G5" s="81"/>
      <c r="H5" s="54" t="s">
        <v>179</v>
      </c>
      <c r="I5" s="86"/>
      <c r="J5" s="86"/>
      <c r="K5" s="87"/>
      <c r="L5" s="88">
        <v>5</v>
      </c>
      <c r="M5" s="88" t="b">
        <f t="shared" si="0"/>
        <v>1</v>
      </c>
      <c r="N5" s="89"/>
    </row>
    <row r="6" spans="1:14" x14ac:dyDescent="0.35">
      <c r="A6" s="46" t="s">
        <v>174</v>
      </c>
      <c r="B6" s="80" t="s">
        <v>178</v>
      </c>
      <c r="C6" s="81"/>
      <c r="D6" s="82"/>
      <c r="E6" s="83"/>
      <c r="F6" s="84"/>
      <c r="G6" s="81"/>
      <c r="H6" s="54" t="s">
        <v>179</v>
      </c>
      <c r="I6" s="86"/>
      <c r="J6" s="86"/>
      <c r="K6" s="87"/>
      <c r="L6" s="88">
        <v>6</v>
      </c>
      <c r="M6" s="88" t="b">
        <f t="shared" si="0"/>
        <v>1</v>
      </c>
      <c r="N6" s="89"/>
    </row>
    <row r="7" spans="1:14" x14ac:dyDescent="0.35">
      <c r="A7" s="80" t="s">
        <v>175</v>
      </c>
      <c r="B7" s="80" t="s">
        <v>176</v>
      </c>
      <c r="C7" s="81"/>
      <c r="D7" s="82"/>
      <c r="E7" s="83"/>
      <c r="F7" s="84"/>
      <c r="G7" s="81"/>
      <c r="H7" s="54" t="s">
        <v>179</v>
      </c>
      <c r="I7" s="86"/>
      <c r="J7" s="86"/>
      <c r="K7" s="87"/>
      <c r="L7" s="88">
        <v>7</v>
      </c>
      <c r="M7" s="88" t="b">
        <f t="shared" si="0"/>
        <v>1</v>
      </c>
      <c r="N7" s="89"/>
    </row>
    <row r="8" spans="1:14" x14ac:dyDescent="0.35">
      <c r="A8" s="80" t="s">
        <v>175</v>
      </c>
      <c r="B8" s="80" t="s">
        <v>177</v>
      </c>
      <c r="C8" s="50"/>
      <c r="D8" s="51"/>
      <c r="E8" s="63"/>
      <c r="F8" s="52"/>
      <c r="G8" s="50"/>
      <c r="H8" s="54" t="s">
        <v>179</v>
      </c>
      <c r="I8" s="53"/>
      <c r="J8" s="53"/>
      <c r="K8" s="65"/>
      <c r="L8" s="79">
        <v>8</v>
      </c>
      <c r="M8" s="79" t="b">
        <f t="shared" si="0"/>
        <v>1</v>
      </c>
      <c r="N8" s="60"/>
    </row>
    <row r="9" spans="1:14" x14ac:dyDescent="0.35">
      <c r="A9" s="80" t="s">
        <v>175</v>
      </c>
      <c r="B9" s="80" t="s">
        <v>178</v>
      </c>
      <c r="C9" s="50"/>
      <c r="D9" s="51"/>
      <c r="E9" s="63"/>
      <c r="F9" s="52"/>
      <c r="G9" s="50"/>
      <c r="H9" s="54" t="s">
        <v>179</v>
      </c>
      <c r="I9" s="53"/>
      <c r="J9" s="53"/>
      <c r="K9" s="65"/>
      <c r="L9" s="79">
        <v>9</v>
      </c>
      <c r="M9" s="79" t="b">
        <f t="shared" si="0"/>
        <v>1</v>
      </c>
      <c r="N9" s="60"/>
    </row>
    <row r="10" spans="1:14" x14ac:dyDescent="0.35">
      <c r="A10" s="80" t="s">
        <v>176</v>
      </c>
      <c r="B10" s="80" t="s">
        <v>177</v>
      </c>
      <c r="C10" s="81"/>
      <c r="D10" s="82"/>
      <c r="E10" s="83"/>
      <c r="F10" s="84"/>
      <c r="G10" s="81"/>
      <c r="H10" s="54" t="s">
        <v>179</v>
      </c>
      <c r="I10" s="86"/>
      <c r="J10" s="86"/>
      <c r="K10" s="87"/>
      <c r="L10" s="88">
        <v>10</v>
      </c>
      <c r="M10" s="88" t="b">
        <f t="shared" si="0"/>
        <v>1</v>
      </c>
      <c r="N10" s="89"/>
    </row>
    <row r="11" spans="1:14" x14ac:dyDescent="0.35">
      <c r="A11" s="80" t="s">
        <v>176</v>
      </c>
      <c r="B11" s="80" t="s">
        <v>178</v>
      </c>
      <c r="C11" s="50"/>
      <c r="D11" s="51"/>
      <c r="E11" s="63"/>
      <c r="F11" s="52"/>
      <c r="G11" s="50"/>
      <c r="H11" s="54" t="s">
        <v>179</v>
      </c>
      <c r="I11" s="53"/>
      <c r="J11" s="53"/>
      <c r="K11" s="65"/>
      <c r="L11" s="79">
        <v>11</v>
      </c>
      <c r="M11" s="79" t="b">
        <f t="shared" si="0"/>
        <v>1</v>
      </c>
      <c r="N11" s="60"/>
    </row>
    <row r="12" spans="1:14" x14ac:dyDescent="0.35">
      <c r="A12" s="80" t="s">
        <v>177</v>
      </c>
      <c r="B12" s="80" t="s">
        <v>178</v>
      </c>
      <c r="C12" s="81"/>
      <c r="D12" s="82"/>
      <c r="E12" s="83"/>
      <c r="F12" s="84"/>
      <c r="G12" s="81"/>
      <c r="H12" s="54" t="s">
        <v>179</v>
      </c>
      <c r="I12" s="86"/>
      <c r="J12" s="86"/>
      <c r="K12" s="87"/>
      <c r="L12" s="88">
        <v>12</v>
      </c>
      <c r="M12" s="88" t="b">
        <f t="shared" si="0"/>
        <v>1</v>
      </c>
      <c r="N12" s="89"/>
    </row>
    <row r="13" spans="1:14" ht="17" customHeight="1" x14ac:dyDescent="0.35">
      <c r="A13" s="80" t="s">
        <v>175</v>
      </c>
      <c r="B13" s="80" t="s">
        <v>180</v>
      </c>
      <c r="C13" s="81"/>
      <c r="D13" s="82"/>
      <c r="E13" s="83"/>
      <c r="F13" s="84"/>
      <c r="G13" s="81"/>
      <c r="H13" s="85" t="s">
        <v>181</v>
      </c>
      <c r="I13" s="86"/>
      <c r="J13" s="86"/>
      <c r="K13" s="87"/>
      <c r="L13" s="88">
        <v>13</v>
      </c>
      <c r="M13" s="88" t="b">
        <f t="shared" si="0"/>
        <v>1</v>
      </c>
      <c r="N13" s="89"/>
    </row>
    <row r="14" spans="1:14" x14ac:dyDescent="0.35">
      <c r="A14" s="80" t="s">
        <v>175</v>
      </c>
      <c r="B14" s="80" t="s">
        <v>177</v>
      </c>
      <c r="C14" s="81"/>
      <c r="D14" s="82"/>
      <c r="E14" s="83"/>
      <c r="F14" s="84"/>
      <c r="G14" s="81"/>
      <c r="H14" s="85" t="s">
        <v>181</v>
      </c>
      <c r="I14" s="86"/>
      <c r="J14" s="86"/>
      <c r="K14" s="87"/>
      <c r="L14" s="88">
        <v>14</v>
      </c>
      <c r="M14" s="88" t="b">
        <f t="shared" si="0"/>
        <v>1</v>
      </c>
      <c r="N14" s="89"/>
    </row>
    <row r="15" spans="1:14" x14ac:dyDescent="0.35">
      <c r="A15" s="80" t="s">
        <v>180</v>
      </c>
      <c r="B15" s="80" t="s">
        <v>177</v>
      </c>
      <c r="C15" s="81"/>
      <c r="D15" s="82"/>
      <c r="E15" s="83"/>
      <c r="F15" s="84"/>
      <c r="G15" s="81"/>
      <c r="H15" s="85" t="s">
        <v>181</v>
      </c>
      <c r="I15" s="86"/>
      <c r="J15" s="86"/>
      <c r="K15" s="87"/>
      <c r="L15" s="88">
        <v>15</v>
      </c>
      <c r="M15" s="88" t="b">
        <f t="shared" si="0"/>
        <v>1</v>
      </c>
      <c r="N15" s="89"/>
    </row>
    <row r="23" spans="13:13" x14ac:dyDescent="0.35">
      <c r="M23" s="6"/>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5"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5" xr:uid="{00000000-0002-0000-0000-000001000000}"/>
    <dataValidation allowBlank="1" showErrorMessage="1" sqref="N2:N15"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5"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5" xr:uid="{00000000-0002-0000-0000-000004000000}"/>
    <dataValidation allowBlank="1" showInputMessage="1" promptTitle="Edge Color" prompt="To select an optional edge color, right-click and select Select Color on the right-click menu." sqref="C3:C15" xr:uid="{00000000-0002-0000-0000-000005000000}"/>
    <dataValidation allowBlank="1" showInputMessage="1" errorTitle="Invalid Edge Width" error="The optional edge width must be a whole number between 1 and 10." promptTitle="Edge Width" prompt="Enter an optional edge width between 1 and 10." sqref="D3:D15"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15"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5" xr:uid="{00000000-0002-0000-0000-000008000000}">
      <formula1>ValidEdgeVisibilities</formula1>
    </dataValidation>
    <dataValidation allowBlank="1" showInputMessage="1" showErrorMessage="1" promptTitle="Vertex 1 Name" prompt="Enter the name of the edge's first vertex." sqref="A3:A15" xr:uid="{00000000-0002-0000-0000-000009000000}"/>
    <dataValidation allowBlank="1" showInputMessage="1" showErrorMessage="1" promptTitle="Vertex 2 Name" prompt="Enter the name of the edge's second vertex." sqref="B3:B15"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15"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5"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5"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8"/>
  <sheetViews>
    <sheetView tabSelected="1" workbookViewId="0">
      <pane xSplit="1" ySplit="2" topLeftCell="B3" activePane="bottomRight" state="frozen"/>
      <selection pane="topRight" activeCell="B1" sqref="B1"/>
      <selection pane="bottomLeft" activeCell="A3" sqref="A3"/>
      <selection pane="bottomRight" activeCell="A2" sqref="A2:AC2"/>
    </sheetView>
  </sheetViews>
  <sheetFormatPr defaultRowHeight="14.5" x14ac:dyDescent="0.35"/>
  <cols>
    <col min="1" max="1" width="9.08984375" style="1"/>
    <col min="2" max="2" width="7.90625" customWidth="1"/>
    <col min="3" max="3" width="8.54296875" customWidth="1"/>
    <col min="4" max="4" width="6.6328125" customWidth="1"/>
    <col min="5" max="5" width="9.90625" customWidth="1"/>
    <col min="6" max="6" width="7.6328125" customWidth="1"/>
    <col min="7" max="7" width="11" customWidth="1"/>
    <col min="8" max="8" width="8.54296875" customWidth="1"/>
    <col min="9" max="9" width="9.6328125" customWidth="1"/>
    <col min="10" max="10" width="10.54296875" customWidth="1"/>
    <col min="11" max="11" width="9.08984375" customWidth="1"/>
    <col min="12" max="12" width="9.08984375" hidden="1" customWidth="1"/>
    <col min="13" max="14" width="4.36328125" hidden="1" customWidth="1"/>
    <col min="15" max="15" width="10.36328125" hidden="1" customWidth="1"/>
    <col min="16" max="16" width="6.453125" hidden="1" customWidth="1"/>
    <col min="17" max="17" width="8.36328125" hidden="1" customWidth="1"/>
    <col min="18" max="18" width="9.54296875" hidden="1" customWidth="1"/>
    <col min="19" max="19" width="9.36328125" hidden="1" customWidth="1"/>
    <col min="20" max="20" width="9.54296875" hidden="1" customWidth="1"/>
    <col min="21" max="23" width="14.36328125" hidden="1" customWidth="1"/>
    <col min="24" max="24" width="11.90625" hidden="1" customWidth="1"/>
    <col min="25" max="25" width="14.453125" hidden="1" customWidth="1"/>
    <col min="26" max="26" width="18.36328125" hidden="1" customWidth="1"/>
    <col min="27" max="27" width="5" hidden="1" customWidth="1"/>
    <col min="28" max="28" width="16" hidden="1" customWidth="1"/>
    <col min="29" max="29" width="16" style="5" bestFit="1" customWidth="1"/>
    <col min="30" max="30" width="14.36328125" style="2" customWidth="1"/>
    <col min="31" max="32" width="14.36328125" customWidth="1"/>
    <col min="33" max="33" width="11.90625" customWidth="1"/>
    <col min="34" max="34" width="14.453125" customWidth="1"/>
    <col min="35" max="35" width="5" customWidth="1"/>
    <col min="36" max="36" width="16" customWidth="1"/>
    <col min="37" max="37" width="16" bestFit="1" customWidth="1"/>
    <col min="38" max="39" width="9.08984375" customWidth="1"/>
  </cols>
  <sheetData>
    <row r="1" spans="1:30" x14ac:dyDescent="0.35">
      <c r="B1" s="22" t="s">
        <v>40</v>
      </c>
      <c r="C1" s="15"/>
      <c r="D1" s="15"/>
      <c r="E1" s="15"/>
      <c r="F1" s="15"/>
      <c r="G1" s="15"/>
      <c r="H1" s="24" t="s">
        <v>44</v>
      </c>
      <c r="I1" s="23"/>
      <c r="J1" s="23"/>
      <c r="K1" s="23"/>
      <c r="L1" s="26" t="s">
        <v>45</v>
      </c>
      <c r="M1" s="25"/>
      <c r="N1" s="25"/>
      <c r="O1" s="25"/>
      <c r="P1" s="25"/>
      <c r="Q1" s="25"/>
      <c r="R1" s="21" t="s">
        <v>43</v>
      </c>
      <c r="S1" s="18"/>
      <c r="T1" s="19"/>
      <c r="U1" s="20"/>
      <c r="V1" s="18"/>
      <c r="W1" s="18"/>
      <c r="X1" s="18"/>
      <c r="Y1" s="18"/>
      <c r="Z1" s="18"/>
      <c r="AA1" s="27" t="s">
        <v>41</v>
      </c>
      <c r="AB1" s="17"/>
      <c r="AC1" s="28" t="s">
        <v>42</v>
      </c>
      <c r="AD1"/>
    </row>
    <row r="2" spans="1:30" ht="30" customHeight="1" x14ac:dyDescent="0.35">
      <c r="A2" s="10" t="s">
        <v>5</v>
      </c>
      <c r="B2" s="7" t="s">
        <v>2</v>
      </c>
      <c r="C2" s="7" t="s">
        <v>8</v>
      </c>
      <c r="D2" s="8" t="s">
        <v>46</v>
      </c>
      <c r="E2" s="9" t="s">
        <v>4</v>
      </c>
      <c r="F2" s="7" t="s">
        <v>49</v>
      </c>
      <c r="G2" s="7" t="s">
        <v>11</v>
      </c>
      <c r="H2" s="7" t="s">
        <v>47</v>
      </c>
      <c r="I2" s="7" t="s">
        <v>48</v>
      </c>
      <c r="J2" s="7" t="s">
        <v>78</v>
      </c>
      <c r="K2" s="7" t="s">
        <v>10</v>
      </c>
      <c r="L2" s="7" t="s">
        <v>27</v>
      </c>
      <c r="M2" s="7" t="s">
        <v>15</v>
      </c>
      <c r="N2" s="7" t="s">
        <v>16</v>
      </c>
      <c r="O2" s="7" t="s">
        <v>13</v>
      </c>
      <c r="P2" s="7" t="s">
        <v>28</v>
      </c>
      <c r="Q2" s="7" t="s">
        <v>29</v>
      </c>
      <c r="R2" s="7" t="s">
        <v>32</v>
      </c>
      <c r="S2" s="7" t="s">
        <v>33</v>
      </c>
      <c r="T2" s="7" t="s">
        <v>34</v>
      </c>
      <c r="U2" s="7" t="s">
        <v>35</v>
      </c>
      <c r="V2" s="7" t="s">
        <v>36</v>
      </c>
      <c r="W2" s="7" t="s">
        <v>37</v>
      </c>
      <c r="X2" s="7" t="s">
        <v>137</v>
      </c>
      <c r="Y2" s="7" t="s">
        <v>38</v>
      </c>
      <c r="Z2" s="7" t="s">
        <v>170</v>
      </c>
      <c r="AA2" s="10" t="s">
        <v>12</v>
      </c>
      <c r="AB2" s="10" t="s">
        <v>39</v>
      </c>
      <c r="AC2" s="7" t="s">
        <v>26</v>
      </c>
      <c r="AD2"/>
    </row>
    <row r="3" spans="1:30" ht="15" customHeight="1" x14ac:dyDescent="0.35">
      <c r="A3" s="46" t="s">
        <v>174</v>
      </c>
      <c r="B3" s="50"/>
      <c r="C3" s="50" t="s">
        <v>56</v>
      </c>
      <c r="D3" s="51">
        <v>70</v>
      </c>
      <c r="E3" s="52"/>
      <c r="F3" s="50"/>
      <c r="G3" s="50"/>
      <c r="H3" s="46" t="s">
        <v>174</v>
      </c>
      <c r="I3" s="53"/>
      <c r="J3" s="53" t="s">
        <v>73</v>
      </c>
      <c r="K3" s="54"/>
      <c r="L3" s="56"/>
      <c r="M3" s="57">
        <v>8420.0869140625</v>
      </c>
      <c r="N3" s="57">
        <v>7189.7333984375</v>
      </c>
      <c r="O3" s="55"/>
      <c r="P3" s="58"/>
      <c r="Q3" s="58"/>
      <c r="R3" s="47"/>
      <c r="S3" s="47"/>
      <c r="T3" s="47"/>
      <c r="U3" s="47"/>
      <c r="V3" s="48"/>
      <c r="W3" s="48"/>
      <c r="X3" s="49"/>
      <c r="Y3" s="48"/>
      <c r="Z3" s="48"/>
      <c r="AA3" s="59">
        <v>3</v>
      </c>
      <c r="AB3" s="59" t="b">
        <f xml:space="preserve"> IF(AND(OR(NOT(ISNUMBER(Vertices[[#This Row],[Size]])), Vertices[[#This Row],[Size]] &gt;= Misc!$O$2), OR(NOT(ISNUMBER(Vertices[[#This Row],[Size]])), Vertices[[#This Row],[Size]] &lt;= Misc!$P$2),OR(NOT(ISNUMBER(Vertices[[#This Row],[X]])), Vertices[[#This Row],[X]] &gt;= Misc!$O$3), OR(NOT(ISNUMBER(Vertices[[#This Row],[X]])), Vertices[[#This Row],[X]] &lt;= Misc!$P$3),OR(NOT(ISNUMBER(Vertices[[#This Row],[Y]])), Vertices[[#This Row],[Y]] &gt;= Misc!$O$4), OR(NOT(ISNUMBER(Vertices[[#This Row],[Y]])), Vertices[[#This Row],[Y]] &lt;= Misc!$P$4),TRUE), TRUE, FALSE)</f>
        <v>1</v>
      </c>
      <c r="AC3" s="60"/>
      <c r="AD3"/>
    </row>
    <row r="4" spans="1:30" ht="29" x14ac:dyDescent="0.35">
      <c r="A4" s="11" t="s">
        <v>175</v>
      </c>
      <c r="B4" s="12"/>
      <c r="C4" s="50" t="s">
        <v>56</v>
      </c>
      <c r="D4" s="51">
        <v>70</v>
      </c>
      <c r="E4" s="77"/>
      <c r="F4" s="12"/>
      <c r="G4" s="12"/>
      <c r="H4" s="11" t="s">
        <v>175</v>
      </c>
      <c r="I4" s="64"/>
      <c r="J4" s="53" t="s">
        <v>73</v>
      </c>
      <c r="K4" s="13"/>
      <c r="L4" s="90"/>
      <c r="M4" s="91">
        <v>2342.162841796875</v>
      </c>
      <c r="N4" s="91">
        <v>6923.5244140625</v>
      </c>
      <c r="O4" s="75"/>
      <c r="P4" s="92"/>
      <c r="Q4" s="92"/>
      <c r="R4" s="93"/>
      <c r="S4" s="93"/>
      <c r="T4" s="93"/>
      <c r="U4" s="93"/>
      <c r="V4" s="49"/>
      <c r="W4" s="49"/>
      <c r="X4" s="49"/>
      <c r="Y4" s="49"/>
      <c r="Z4" s="48"/>
      <c r="AA4" s="78">
        <v>4</v>
      </c>
      <c r="AB4" s="78" t="b">
        <f xml:space="preserve"> IF(AND(OR(NOT(ISNUMBER(Vertices[[#This Row],[Size]])), Vertices[[#This Row],[Size]] &gt;= Misc!$O$2), OR(NOT(ISNUMBER(Vertices[[#This Row],[Size]])), Vertices[[#This Row],[Size]] &lt;= Misc!$P$2),OR(NOT(ISNUMBER(Vertices[[#This Row],[X]])), Vertices[[#This Row],[X]] &gt;= Misc!$O$3), OR(NOT(ISNUMBER(Vertices[[#This Row],[X]])), Vertices[[#This Row],[X]] &lt;= Misc!$P$3),OR(NOT(ISNUMBER(Vertices[[#This Row],[Y]])), Vertices[[#This Row],[Y]] &gt;= Misc!$O$4), OR(NOT(ISNUMBER(Vertices[[#This Row],[Y]])), Vertices[[#This Row],[Y]] &lt;= Misc!$P$4),TRUE), TRUE, FALSE)</f>
        <v>1</v>
      </c>
      <c r="AC4" s="94"/>
    </row>
    <row r="5" spans="1:30" ht="29" x14ac:dyDescent="0.35">
      <c r="A5" s="11" t="s">
        <v>176</v>
      </c>
      <c r="B5" s="12"/>
      <c r="C5" s="50" t="s">
        <v>56</v>
      </c>
      <c r="D5" s="51">
        <v>90</v>
      </c>
      <c r="E5" s="77"/>
      <c r="F5" s="12"/>
      <c r="G5" s="12"/>
      <c r="H5" s="11" t="s">
        <v>176</v>
      </c>
      <c r="I5" s="64"/>
      <c r="J5" s="53" t="s">
        <v>73</v>
      </c>
      <c r="K5" s="13"/>
      <c r="L5" s="90"/>
      <c r="M5" s="91">
        <v>8389.0927734375</v>
      </c>
      <c r="N5" s="91">
        <v>2758.690673828125</v>
      </c>
      <c r="O5" s="75"/>
      <c r="P5" s="92"/>
      <c r="Q5" s="92"/>
      <c r="R5" s="93"/>
      <c r="S5" s="93"/>
      <c r="T5" s="93"/>
      <c r="U5" s="93"/>
      <c r="V5" s="49"/>
      <c r="W5" s="49"/>
      <c r="X5" s="49"/>
      <c r="Y5" s="49"/>
      <c r="Z5" s="48"/>
      <c r="AA5" s="78">
        <v>5</v>
      </c>
      <c r="AB5" s="78" t="b">
        <f xml:space="preserve"> IF(AND(OR(NOT(ISNUMBER(Vertices[[#This Row],[Size]])), Vertices[[#This Row],[Size]] &gt;= Misc!$O$2), OR(NOT(ISNUMBER(Vertices[[#This Row],[Size]])), Vertices[[#This Row],[Size]] &lt;= Misc!$P$2),OR(NOT(ISNUMBER(Vertices[[#This Row],[X]])), Vertices[[#This Row],[X]] &gt;= Misc!$O$3), OR(NOT(ISNUMBER(Vertices[[#This Row],[X]])), Vertices[[#This Row],[X]] &lt;= Misc!$P$3),OR(NOT(ISNUMBER(Vertices[[#This Row],[Y]])), Vertices[[#This Row],[Y]] &gt;= Misc!$O$4), OR(NOT(ISNUMBER(Vertices[[#This Row],[Y]])), Vertices[[#This Row],[Y]] &lt;= Misc!$P$4),TRUE), TRUE, FALSE)</f>
        <v>1</v>
      </c>
      <c r="AC5" s="94"/>
    </row>
    <row r="6" spans="1:30" ht="29" x14ac:dyDescent="0.35">
      <c r="A6" s="11" t="s">
        <v>177</v>
      </c>
      <c r="B6" s="12"/>
      <c r="C6" s="50" t="s">
        <v>56</v>
      </c>
      <c r="D6" s="51">
        <v>70</v>
      </c>
      <c r="E6" s="77"/>
      <c r="F6" s="12"/>
      <c r="G6" s="12"/>
      <c r="H6" s="11" t="s">
        <v>177</v>
      </c>
      <c r="I6" s="64"/>
      <c r="J6" s="53" t="s">
        <v>73</v>
      </c>
      <c r="K6" s="13"/>
      <c r="L6" s="90"/>
      <c r="M6" s="91">
        <v>5878.3134765625</v>
      </c>
      <c r="N6" s="91">
        <v>830.41400146484375</v>
      </c>
      <c r="O6" s="75"/>
      <c r="P6" s="92"/>
      <c r="Q6" s="92"/>
      <c r="R6" s="93"/>
      <c r="S6" s="93"/>
      <c r="T6" s="93"/>
      <c r="U6" s="93"/>
      <c r="V6" s="49"/>
      <c r="W6" s="49"/>
      <c r="X6" s="49"/>
      <c r="Y6" s="49"/>
      <c r="Z6" s="48"/>
      <c r="AA6" s="78">
        <v>6</v>
      </c>
      <c r="AB6" s="78" t="b">
        <f xml:space="preserve"> IF(AND(OR(NOT(ISNUMBER(Vertices[[#This Row],[Size]])), Vertices[[#This Row],[Size]] &gt;= Misc!$O$2), OR(NOT(ISNUMBER(Vertices[[#This Row],[Size]])), Vertices[[#This Row],[Size]] &lt;= Misc!$P$2),OR(NOT(ISNUMBER(Vertices[[#This Row],[X]])), Vertices[[#This Row],[X]] &gt;= Misc!$O$3), OR(NOT(ISNUMBER(Vertices[[#This Row],[X]])), Vertices[[#This Row],[X]] &lt;= Misc!$P$3),OR(NOT(ISNUMBER(Vertices[[#This Row],[Y]])), Vertices[[#This Row],[Y]] &gt;= Misc!$O$4), OR(NOT(ISNUMBER(Vertices[[#This Row],[Y]])), Vertices[[#This Row],[Y]] &lt;= Misc!$P$4),TRUE), TRUE, FALSE)</f>
        <v>1</v>
      </c>
      <c r="AC6" s="94"/>
    </row>
    <row r="7" spans="1:30" ht="29" x14ac:dyDescent="0.35">
      <c r="A7" s="11" t="s">
        <v>178</v>
      </c>
      <c r="B7" s="12"/>
      <c r="C7" s="50" t="s">
        <v>56</v>
      </c>
      <c r="D7" s="51">
        <v>70</v>
      </c>
      <c r="E7" s="77"/>
      <c r="F7" s="12"/>
      <c r="G7" s="12"/>
      <c r="H7" s="11" t="s">
        <v>178</v>
      </c>
      <c r="I7" s="64"/>
      <c r="J7" s="53" t="s">
        <v>73</v>
      </c>
      <c r="K7" s="13"/>
      <c r="L7" s="90"/>
      <c r="M7" s="91">
        <v>5479.80859375</v>
      </c>
      <c r="N7" s="91">
        <v>9459.6455078125</v>
      </c>
      <c r="O7" s="75"/>
      <c r="P7" s="92"/>
      <c r="Q7" s="92"/>
      <c r="R7" s="93"/>
      <c r="S7" s="93"/>
      <c r="T7" s="93"/>
      <c r="U7" s="93"/>
      <c r="V7" s="49"/>
      <c r="W7" s="49"/>
      <c r="X7" s="49"/>
      <c r="Y7" s="49"/>
      <c r="Z7" s="48"/>
      <c r="AA7" s="78">
        <v>7</v>
      </c>
      <c r="AB7" s="78" t="b">
        <f xml:space="preserve"> IF(AND(OR(NOT(ISNUMBER(Vertices[[#This Row],[Size]])), Vertices[[#This Row],[Size]] &gt;= Misc!$O$2), OR(NOT(ISNUMBER(Vertices[[#This Row],[Size]])), Vertices[[#This Row],[Size]] &lt;= Misc!$P$2),OR(NOT(ISNUMBER(Vertices[[#This Row],[X]])), Vertices[[#This Row],[X]] &gt;= Misc!$O$3), OR(NOT(ISNUMBER(Vertices[[#This Row],[X]])), Vertices[[#This Row],[X]] &lt;= Misc!$P$3),OR(NOT(ISNUMBER(Vertices[[#This Row],[Y]])), Vertices[[#This Row],[Y]] &gt;= Misc!$O$4), OR(NOT(ISNUMBER(Vertices[[#This Row],[Y]])), Vertices[[#This Row],[Y]] &lt;= Misc!$P$4),TRUE), TRUE, FALSE)</f>
        <v>1</v>
      </c>
      <c r="AC7" s="94"/>
    </row>
    <row r="8" spans="1:30" ht="29" x14ac:dyDescent="0.35">
      <c r="A8" s="11" t="s">
        <v>180</v>
      </c>
      <c r="B8" s="12"/>
      <c r="C8" s="50" t="s">
        <v>56</v>
      </c>
      <c r="D8" s="51">
        <v>70</v>
      </c>
      <c r="E8" s="77"/>
      <c r="F8" s="12"/>
      <c r="G8" s="12"/>
      <c r="H8" s="11" t="s">
        <v>180</v>
      </c>
      <c r="I8" s="64"/>
      <c r="J8" s="53" t="s">
        <v>73</v>
      </c>
      <c r="K8" s="13"/>
      <c r="L8" s="90"/>
      <c r="M8" s="91">
        <v>2484.57958984375</v>
      </c>
      <c r="N8" s="91">
        <v>2149.0810546875</v>
      </c>
      <c r="O8" s="75"/>
      <c r="P8" s="92"/>
      <c r="Q8" s="92"/>
      <c r="R8" s="93"/>
      <c r="S8" s="93"/>
      <c r="T8" s="93"/>
      <c r="U8" s="93"/>
      <c r="V8" s="49"/>
      <c r="W8" s="49"/>
      <c r="X8" s="49"/>
      <c r="Y8" s="49"/>
      <c r="Z8" s="48"/>
      <c r="AA8" s="78">
        <v>8</v>
      </c>
      <c r="AB8" s="78" t="b">
        <f xml:space="preserve"> IF(AND(OR(NOT(ISNUMBER(Vertices[[#This Row],[Size]])), Vertices[[#This Row],[Size]] &gt;= Misc!$O$2), OR(NOT(ISNUMBER(Vertices[[#This Row],[Size]])), Vertices[[#This Row],[Size]] &lt;= Misc!$P$2),OR(NOT(ISNUMBER(Vertices[[#This Row],[X]])), Vertices[[#This Row],[X]] &gt;= Misc!$O$3), OR(NOT(ISNUMBER(Vertices[[#This Row],[X]])), Vertices[[#This Row],[X]] &lt;= Misc!$P$3),OR(NOT(ISNUMBER(Vertices[[#This Row],[Y]])), Vertices[[#This Row],[Y]] &gt;= Misc!$O$4), OR(NOT(ISNUMBER(Vertices[[#This Row],[Y]])), Vertices[[#This Row],[Y]] &lt;= Misc!$P$4),TRUE), TRUE, FALSE)</f>
        <v>1</v>
      </c>
      <c r="AC8" s="94"/>
    </row>
  </sheetData>
  <dataConsolidate/>
  <dataValidations count="19">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8" xr:uid="{00000000-0002-0000-0100-000000000000}"/>
    <dataValidation allowBlank="1" errorTitle="Invalid Vertex Visibility" error="You have entered an unrecognized vertex visibility.  Try selecting from the drop-down list instead." sqref="AD3" xr:uid="{00000000-0002-0000-0100-000001000000}"/>
    <dataValidation allowBlank="1" showErrorMessage="1" sqref="AD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8"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8"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8"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8"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8" xr:uid="{00000000-0002-0000-0100-000007000000}"/>
    <dataValidation allowBlank="1" showInputMessage="1" errorTitle="Invalid Vertex Image Key" promptTitle="Vertex Tooltip" prompt="Enter optional text that will pop up when the mouse is hovered over the vertex." sqref="K3:K8"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8"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8" xr:uid="{00000000-0002-0000-0100-00000A000000}">
      <formula1>ValidVertexVisibilities</formula1>
    </dataValidation>
    <dataValidation allowBlank="1" showInputMessage="1" promptTitle="Vertex Label Fill Color" prompt="To select an optional fill color for the Label shape, right-click and select Select Color on the right-click menu." sqref="I3:I8" xr:uid="{00000000-0002-0000-0100-00000C000000}"/>
    <dataValidation allowBlank="1" showInputMessage="1" errorTitle="Invalid Vertex Image Key" promptTitle="Vertex Image File" prompt="Enter the path to an image file.  Hover over the column header for examples." sqref="F3:F8" xr:uid="{00000000-0002-0000-0100-00000D000000}"/>
    <dataValidation allowBlank="1" showInputMessage="1" promptTitle="Vertex Color" prompt="To select an optional vertex color, right-click and select Select Color on the right-click menu." sqref="B3:B8"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8"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8"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8"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8" xr:uid="{00000000-0002-0000-0100-000012000000}">
      <formula1>ValidVertexLabelPositions</formula1>
    </dataValidation>
    <dataValidation allowBlank="1" showInputMessage="1" showErrorMessage="1" promptTitle="Vertex Name" prompt="Enter the name of the vertex." sqref="A3:A8 H3:H8"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5" x14ac:dyDescent="0.35"/>
  <cols>
    <col min="1" max="1" width="10.90625" bestFit="1" customWidth="1"/>
    <col min="2" max="2" width="16.90625" bestFit="1" customWidth="1"/>
    <col min="4" max="5" width="9.08984375" customWidth="1"/>
  </cols>
  <sheetData>
    <row r="1" spans="1:1" x14ac:dyDescent="0.35">
      <c r="A1" t="s">
        <v>50</v>
      </c>
    </row>
    <row r="2" spans="1:1" ht="15" customHeight="1" x14ac:dyDescent="0.35"/>
    <row r="3" spans="1:1" ht="15" customHeight="1" x14ac:dyDescent="0.35">
      <c r="A3" s="29" t="s">
        <v>51</v>
      </c>
    </row>
    <row r="21" spans="4:4" x14ac:dyDescent="0.35">
      <c r="D21" s="6"/>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36328125" bestFit="1" customWidth="1"/>
    <col min="3" max="3" width="15" bestFit="1" customWidth="1"/>
    <col min="4" max="4" width="11.089843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hidden="1" customWidth="1"/>
    <col min="12" max="12" width="9.6328125" hidden="1" customWidth="1"/>
    <col min="13" max="13" width="13.08984375" hidden="1" customWidth="1"/>
    <col min="14" max="15" width="8.453125" hidden="1" customWidth="1"/>
    <col min="16" max="16" width="18.36328125" hidden="1" customWidth="1"/>
    <col min="17" max="17" width="14.90625" hidden="1" customWidth="1"/>
    <col min="18" max="18" width="14.54296875" hidden="1" customWidth="1"/>
    <col min="19" max="21" width="24.08984375" hidden="1" customWidth="1"/>
    <col min="22" max="22" width="21.36328125" hidden="1" customWidth="1"/>
    <col min="23" max="23" width="19.36328125" hidden="1" customWidth="1"/>
    <col min="24" max="24" width="10" hidden="1" customWidth="1"/>
    <col min="25" max="25" width="13" customWidth="1"/>
  </cols>
  <sheetData>
    <row r="1" spans="1:24" x14ac:dyDescent="0.35">
      <c r="B1" s="66" t="s">
        <v>40</v>
      </c>
      <c r="C1" s="67"/>
      <c r="D1" s="67"/>
      <c r="E1" s="68"/>
      <c r="F1" s="64" t="s">
        <v>44</v>
      </c>
      <c r="G1" s="69" t="s">
        <v>45</v>
      </c>
      <c r="H1" s="70"/>
      <c r="I1" s="71" t="s">
        <v>41</v>
      </c>
      <c r="J1" s="72"/>
      <c r="K1" s="73" t="s">
        <v>43</v>
      </c>
      <c r="L1" s="74"/>
      <c r="M1" s="74"/>
      <c r="N1" s="74"/>
      <c r="O1" s="74"/>
      <c r="P1" s="74"/>
      <c r="Q1" s="74"/>
      <c r="R1" s="74"/>
      <c r="S1" s="74"/>
      <c r="T1" s="74"/>
      <c r="U1" s="74"/>
      <c r="V1" s="74"/>
      <c r="W1" s="74"/>
      <c r="X1" s="74"/>
    </row>
    <row r="2" spans="1:24" s="7" customFormat="1" ht="30" customHeight="1" x14ac:dyDescent="0.35">
      <c r="A2" s="10" t="s">
        <v>144</v>
      </c>
      <c r="B2" s="7" t="s">
        <v>21</v>
      </c>
      <c r="C2" s="7" t="s">
        <v>20</v>
      </c>
      <c r="D2" s="7" t="s">
        <v>11</v>
      </c>
      <c r="E2" s="7" t="s">
        <v>145</v>
      </c>
      <c r="F2" s="7" t="s">
        <v>47</v>
      </c>
      <c r="G2" s="7" t="s">
        <v>167</v>
      </c>
      <c r="H2" s="7" t="s">
        <v>168</v>
      </c>
      <c r="I2" s="7" t="s">
        <v>12</v>
      </c>
      <c r="J2" s="7" t="s">
        <v>166</v>
      </c>
      <c r="K2" s="7" t="s">
        <v>146</v>
      </c>
      <c r="L2" s="7" t="s">
        <v>148</v>
      </c>
      <c r="M2" s="7" t="s">
        <v>149</v>
      </c>
      <c r="N2" s="7" t="s">
        <v>150</v>
      </c>
      <c r="O2" s="7" t="s">
        <v>151</v>
      </c>
      <c r="P2" s="7" t="s">
        <v>170</v>
      </c>
      <c r="Q2" s="7" t="s">
        <v>171</v>
      </c>
      <c r="R2" s="7" t="s">
        <v>152</v>
      </c>
      <c r="S2" s="7" t="s">
        <v>153</v>
      </c>
      <c r="T2" s="7" t="s">
        <v>154</v>
      </c>
      <c r="U2" s="7" t="s">
        <v>155</v>
      </c>
      <c r="V2" s="7" t="s">
        <v>156</v>
      </c>
      <c r="W2" s="7" t="s">
        <v>157</v>
      </c>
      <c r="X2" s="7" t="s">
        <v>158</v>
      </c>
    </row>
    <row r="3" spans="1:24" x14ac:dyDescent="0.35">
      <c r="A3" s="11"/>
      <c r="B3" s="12"/>
      <c r="C3" s="12"/>
      <c r="D3" s="12"/>
      <c r="E3" s="12"/>
      <c r="F3" s="13"/>
      <c r="G3" s="75"/>
      <c r="H3" s="75"/>
      <c r="I3" s="61"/>
      <c r="J3" s="61"/>
      <c r="K3" s="44"/>
      <c r="L3" s="44"/>
      <c r="M3" s="44"/>
      <c r="N3" s="44"/>
      <c r="O3" s="44"/>
      <c r="P3" s="44"/>
      <c r="Q3" s="44"/>
      <c r="R3" s="44"/>
      <c r="S3" s="44"/>
      <c r="T3" s="44"/>
      <c r="U3" s="44"/>
      <c r="V3" s="44"/>
      <c r="W3" s="45"/>
      <c r="X3" s="45"/>
    </row>
    <row r="10" spans="1:24"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1"/>
  <sheetViews>
    <sheetView workbookViewId="0">
      <selection activeCell="A2" sqref="A2"/>
    </sheetView>
  </sheetViews>
  <sheetFormatPr defaultRowHeight="14.5" x14ac:dyDescent="0.35"/>
  <cols>
    <col min="1" max="1" width="9.453125" style="1" bestFit="1" customWidth="1"/>
    <col min="2" max="2" width="9.08984375" style="1"/>
    <col min="3" max="3" width="11.54296875" bestFit="1" customWidth="1"/>
    <col min="4" max="4" width="9.08984375" customWidth="1"/>
  </cols>
  <sheetData>
    <row r="1" spans="1:3" x14ac:dyDescent="0.35">
      <c r="A1" s="1" t="s">
        <v>144</v>
      </c>
      <c r="B1" s="1" t="s">
        <v>5</v>
      </c>
      <c r="C1" s="1" t="s">
        <v>147</v>
      </c>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75"/>
  <sheetViews>
    <sheetView workbookViewId="0">
      <selection activeCell="A56" sqref="A56:XFD56"/>
    </sheetView>
  </sheetViews>
  <sheetFormatPr defaultRowHeight="14.5" x14ac:dyDescent="0.35"/>
  <cols>
    <col min="1" max="1" width="43.08984375" customWidth="1"/>
    <col min="2" max="2" width="13.90625" customWidth="1"/>
    <col min="3" max="3" width="9.08984375" customWidth="1"/>
    <col min="4" max="4" width="12.90625" hidden="1" customWidth="1"/>
    <col min="5" max="5" width="19.6328125" hidden="1" customWidth="1"/>
    <col min="6" max="6" width="15.54296875" hidden="1" customWidth="1"/>
    <col min="7" max="7" width="22.08984375" hidden="1" customWidth="1"/>
    <col min="8" max="8" width="17.08984375" hidden="1" customWidth="1"/>
    <col min="9" max="9" width="23.90625" hidden="1" customWidth="1"/>
    <col min="10" max="10" width="28.36328125" hidden="1" customWidth="1"/>
    <col min="11" max="11" width="34.90625" hidden="1" customWidth="1"/>
    <col min="12" max="12" width="25" hidden="1" customWidth="1"/>
    <col min="13" max="13" width="31.54296875" hidden="1" customWidth="1"/>
    <col min="14" max="14" width="26.54296875" hidden="1" customWidth="1"/>
    <col min="15" max="17" width="33.36328125" hidden="1" customWidth="1"/>
    <col min="18" max="18" width="26.54296875" hidden="1" customWidth="1"/>
    <col min="19" max="19" width="33" hidden="1" customWidth="1"/>
    <col min="20" max="20" width="19.54296875" hidden="1" customWidth="1"/>
    <col min="21" max="21" width="26.08984375" hidden="1" customWidth="1"/>
    <col min="22" max="22" width="9.08984375" hidden="1" customWidth="1"/>
    <col min="23" max="23" width="34.08984375" hidden="1" customWidth="1"/>
    <col min="24" max="24" width="25.08984375" hidden="1" customWidth="1"/>
  </cols>
  <sheetData>
    <row r="1" spans="1:24" ht="15" customHeight="1" thickBot="1" x14ac:dyDescent="0.4">
      <c r="A1" s="7" t="s">
        <v>162</v>
      </c>
      <c r="B1" s="7" t="s">
        <v>17</v>
      </c>
      <c r="D1" t="s">
        <v>80</v>
      </c>
      <c r="E1" t="s">
        <v>81</v>
      </c>
      <c r="F1" s="33" t="s">
        <v>87</v>
      </c>
      <c r="G1" s="34" t="s">
        <v>88</v>
      </c>
      <c r="H1" s="33" t="s">
        <v>93</v>
      </c>
      <c r="I1" s="34" t="s">
        <v>94</v>
      </c>
      <c r="J1" s="33" t="s">
        <v>99</v>
      </c>
      <c r="K1" s="34" t="s">
        <v>100</v>
      </c>
      <c r="L1" s="33" t="s">
        <v>105</v>
      </c>
      <c r="M1" s="34" t="s">
        <v>106</v>
      </c>
      <c r="N1" s="33" t="s">
        <v>111</v>
      </c>
      <c r="O1" s="34" t="s">
        <v>112</v>
      </c>
      <c r="P1" s="34" t="s">
        <v>138</v>
      </c>
      <c r="Q1" s="34" t="s">
        <v>139</v>
      </c>
      <c r="R1" s="33" t="s">
        <v>117</v>
      </c>
      <c r="S1" s="33" t="s">
        <v>118</v>
      </c>
      <c r="T1" s="33" t="s">
        <v>123</v>
      </c>
      <c r="U1" s="34" t="s">
        <v>124</v>
      </c>
      <c r="W1" t="s">
        <v>128</v>
      </c>
      <c r="X1" t="s">
        <v>17</v>
      </c>
    </row>
    <row r="2" spans="1:24" ht="15" thickTop="1" x14ac:dyDescent="0.35">
      <c r="A2" s="32"/>
      <c r="B2" s="32"/>
      <c r="D2" s="30">
        <f>MIN(Vertices[Degree])</f>
        <v>0</v>
      </c>
      <c r="E2">
        <f>COUNTIF(Vertices[Degree], "&gt;= " &amp; D2) - COUNTIF(Vertices[Degree], "&gt;=" &amp; D3)</f>
        <v>0</v>
      </c>
      <c r="F2" s="35">
        <f>MIN(Vertices[In-Degree])</f>
        <v>0</v>
      </c>
      <c r="G2" s="36">
        <f>COUNTIF(Vertices[In-Degree], "&gt;= " &amp; F2) - COUNTIF(Vertices[In-Degree], "&gt;=" &amp; F3)</f>
        <v>0</v>
      </c>
      <c r="H2" s="35">
        <f>MIN(Vertices[Out-Degree])</f>
        <v>0</v>
      </c>
      <c r="I2" s="36">
        <f>COUNTIF(Vertices[Out-Degree], "&gt;= " &amp; H2) - COUNTIF(Vertices[Out-Degree], "&gt;=" &amp; H3)</f>
        <v>0</v>
      </c>
      <c r="J2" s="35">
        <f>MIN(Vertices[Betweenness Centrality])</f>
        <v>0</v>
      </c>
      <c r="K2" s="36">
        <f>COUNTIF(Vertices[Betweenness Centrality], "&gt;= " &amp; J2) - COUNTIF(Vertices[Betweenness Centrality], "&gt;=" &amp; J3)</f>
        <v>0</v>
      </c>
      <c r="L2" s="35">
        <f>MIN(Vertices[Closeness Centrality])</f>
        <v>0</v>
      </c>
      <c r="M2" s="36">
        <f>COUNTIF(Vertices[Closeness Centrality], "&gt;= " &amp; L2) - COUNTIF(Vertices[Closeness Centrality], "&gt;=" &amp; L3)</f>
        <v>0</v>
      </c>
      <c r="N2" s="35">
        <f>MIN(Vertices[Eigenvector Centrality])</f>
        <v>0</v>
      </c>
      <c r="O2" s="36">
        <f>COUNTIF(Vertices[Eigenvector Centrality], "&gt;= " &amp; N2) - COUNTIF(Vertices[Eigenvector Centrality], "&gt;=" &amp; N3)</f>
        <v>0</v>
      </c>
      <c r="P2" s="35">
        <f>MIN(Vertices[PageRank])</f>
        <v>0</v>
      </c>
      <c r="Q2" s="36">
        <f>COUNTIF(Vertices[PageRank], "&gt;= " &amp; P2) - COUNTIF(Vertices[PageRank], "&gt;=" &amp; P3)</f>
        <v>0</v>
      </c>
      <c r="R2" s="35">
        <f>MIN(Vertices[Clustering Coefficient])</f>
        <v>0</v>
      </c>
      <c r="S2" s="41">
        <f>COUNTIF(Vertices[Clustering Coefficient], "&gt;= " &amp; R2) - COUNTIF(Vertices[Clustering Coefficient], "&gt;=" &amp; R3)</f>
        <v>0</v>
      </c>
      <c r="T2" s="35">
        <f ca="1">MIN(INDIRECT(DynamicFilterSourceColumnRange))</f>
        <v>830.41400146484375</v>
      </c>
      <c r="U2" s="36">
        <f t="shared" ref="U2:U25" ca="1" si="0">COUNTIF(INDIRECT(DynamicFilterSourceColumnRange), "&gt;= " &amp; T2) - COUNTIF(INDIRECT(DynamicFilterSourceColumnRange), "&gt;=" &amp; T3)</f>
        <v>1</v>
      </c>
      <c r="W2" t="s">
        <v>125</v>
      </c>
      <c r="X2">
        <f>ROWS(HistogramBins[Degree Bin]) - 1</f>
        <v>34</v>
      </c>
    </row>
    <row r="3" spans="1:24" x14ac:dyDescent="0.35">
      <c r="A3" s="32"/>
      <c r="B3" s="32"/>
      <c r="D3" s="30">
        <f t="shared" ref="D3:D35" si="1">D2+($D$36-$D$2)/BinDivisor</f>
        <v>0</v>
      </c>
      <c r="E3">
        <f>COUNTIF(Vertices[Degree], "&gt;= " &amp; D3) - COUNTIF(Vertices[Degree], "&gt;=" &amp; D4)</f>
        <v>0</v>
      </c>
      <c r="F3" s="37">
        <f t="shared" ref="F3:F35" si="2">F2+($F$36-$F$2)/BinDivisor</f>
        <v>0</v>
      </c>
      <c r="G3" s="38">
        <f>COUNTIF(Vertices[In-Degree], "&gt;= " &amp; F3) - COUNTIF(Vertices[In-Degree], "&gt;=" &amp; F4)</f>
        <v>0</v>
      </c>
      <c r="H3" s="37">
        <f t="shared" ref="H3:H35" si="3">H2+($H$36-$H$2)/BinDivisor</f>
        <v>0</v>
      </c>
      <c r="I3" s="38">
        <f>COUNTIF(Vertices[Out-Degree], "&gt;= " &amp; H3) - COUNTIF(Vertices[Out-Degree], "&gt;=" &amp; H4)</f>
        <v>0</v>
      </c>
      <c r="J3" s="37">
        <f t="shared" ref="J3:J35" si="4">J2+($J$36-$J$2)/BinDivisor</f>
        <v>0</v>
      </c>
      <c r="K3" s="38">
        <f>COUNTIF(Vertices[Betweenness Centrality], "&gt;= " &amp; J3) - COUNTIF(Vertices[Betweenness Centrality], "&gt;=" &amp; J4)</f>
        <v>0</v>
      </c>
      <c r="L3" s="37">
        <f t="shared" ref="L3:L35" si="5">L2+($L$36-$L$2)/BinDivisor</f>
        <v>0</v>
      </c>
      <c r="M3" s="38">
        <f>COUNTIF(Vertices[Closeness Centrality], "&gt;= " &amp; L3) - COUNTIF(Vertices[Closeness Centrality], "&gt;=" &amp; L4)</f>
        <v>0</v>
      </c>
      <c r="N3" s="37">
        <f t="shared" ref="N3:N35" si="6">N2+($N$36-$N$2)/BinDivisor</f>
        <v>0</v>
      </c>
      <c r="O3" s="38">
        <f>COUNTIF(Vertices[Eigenvector Centrality], "&gt;= " &amp; N3) - COUNTIF(Vertices[Eigenvector Centrality], "&gt;=" &amp; N4)</f>
        <v>0</v>
      </c>
      <c r="P3" s="37">
        <f t="shared" ref="P3:P35" si="7">P2+($P$36-$P$2)/BinDivisor</f>
        <v>0</v>
      </c>
      <c r="Q3" s="38">
        <f>COUNTIF(Vertices[PageRank], "&gt;= " &amp; P3) - COUNTIF(Vertices[PageRank], "&gt;=" &amp; P4)</f>
        <v>0</v>
      </c>
      <c r="R3" s="37">
        <f t="shared" ref="R3:R35" si="8">R2+($R$36-$R$2)/BinDivisor</f>
        <v>0</v>
      </c>
      <c r="S3" s="42">
        <f>COUNTIF(Vertices[Clustering Coefficient], "&gt;= " &amp; R3) - COUNTIF(Vertices[Clustering Coefficient], "&gt;=" &amp; R4)</f>
        <v>0</v>
      </c>
      <c r="T3" s="37">
        <f t="shared" ref="T3:T35" ca="1" si="9">T2+($T$36-$T$2)/BinDivisor</f>
        <v>1084.2149281221277</v>
      </c>
      <c r="U3" s="38">
        <f t="shared" ca="1" si="0"/>
        <v>0</v>
      </c>
      <c r="W3" t="s">
        <v>126</v>
      </c>
      <c r="X3" t="s">
        <v>86</v>
      </c>
    </row>
    <row r="4" spans="1:24" x14ac:dyDescent="0.35">
      <c r="A4" s="32"/>
      <c r="B4" s="32"/>
      <c r="D4" s="30">
        <f t="shared" si="1"/>
        <v>0</v>
      </c>
      <c r="E4">
        <f>COUNTIF(Vertices[Degree], "&gt;= " &amp; D4) - COUNTIF(Vertices[Degree], "&gt;=" &amp; D5)</f>
        <v>0</v>
      </c>
      <c r="F4" s="35">
        <f t="shared" si="2"/>
        <v>0</v>
      </c>
      <c r="G4" s="36">
        <f>COUNTIF(Vertices[In-Degree], "&gt;= " &amp; F4) - COUNTIF(Vertices[In-Degree], "&gt;=" &amp; F5)</f>
        <v>0</v>
      </c>
      <c r="H4" s="35">
        <f t="shared" si="3"/>
        <v>0</v>
      </c>
      <c r="I4" s="36">
        <f>COUNTIF(Vertices[Out-Degree], "&gt;= " &amp; H4) - COUNTIF(Vertices[Out-Degree], "&gt;=" &amp; H5)</f>
        <v>0</v>
      </c>
      <c r="J4" s="35">
        <f t="shared" si="4"/>
        <v>0</v>
      </c>
      <c r="K4" s="36">
        <f>COUNTIF(Vertices[Betweenness Centrality], "&gt;= " &amp; J4) - COUNTIF(Vertices[Betweenness Centrality], "&gt;=" &amp; J5)</f>
        <v>0</v>
      </c>
      <c r="L4" s="35">
        <f t="shared" si="5"/>
        <v>0</v>
      </c>
      <c r="M4" s="36">
        <f>COUNTIF(Vertices[Closeness Centrality], "&gt;= " &amp; L4) - COUNTIF(Vertices[Closeness Centrality], "&gt;=" &amp; L5)</f>
        <v>0</v>
      </c>
      <c r="N4" s="35">
        <f t="shared" si="6"/>
        <v>0</v>
      </c>
      <c r="O4" s="36">
        <f>COUNTIF(Vertices[Eigenvector Centrality], "&gt;= " &amp; N4) - COUNTIF(Vertices[Eigenvector Centrality], "&gt;=" &amp; N5)</f>
        <v>0</v>
      </c>
      <c r="P4" s="35">
        <f t="shared" si="7"/>
        <v>0</v>
      </c>
      <c r="Q4" s="36">
        <f>COUNTIF(Vertices[PageRank], "&gt;= " &amp; P4) - COUNTIF(Vertices[PageRank], "&gt;=" &amp; P5)</f>
        <v>0</v>
      </c>
      <c r="R4" s="35">
        <f t="shared" si="8"/>
        <v>0</v>
      </c>
      <c r="S4" s="41">
        <f>COUNTIF(Vertices[Clustering Coefficient], "&gt;= " &amp; R4) - COUNTIF(Vertices[Clustering Coefficient], "&gt;=" &amp; R5)</f>
        <v>0</v>
      </c>
      <c r="T4" s="35">
        <f t="shared" ca="1" si="9"/>
        <v>1338.0158547794117</v>
      </c>
      <c r="U4" s="36">
        <f t="shared" ca="1" si="0"/>
        <v>0</v>
      </c>
      <c r="W4" t="s">
        <v>127</v>
      </c>
      <c r="X4" t="s">
        <v>184</v>
      </c>
    </row>
    <row r="5" spans="1:24" x14ac:dyDescent="0.35">
      <c r="A5" s="32"/>
      <c r="B5" s="32"/>
      <c r="D5" s="30">
        <f t="shared" si="1"/>
        <v>0</v>
      </c>
      <c r="E5">
        <f>COUNTIF(Vertices[Degree], "&gt;= " &amp; D5) - COUNTIF(Vertices[Degree], "&gt;=" &amp; D6)</f>
        <v>0</v>
      </c>
      <c r="F5" s="37">
        <f t="shared" si="2"/>
        <v>0</v>
      </c>
      <c r="G5" s="38">
        <f>COUNTIF(Vertices[In-Degree], "&gt;= " &amp; F5) - COUNTIF(Vertices[In-Degree], "&gt;=" &amp; F6)</f>
        <v>0</v>
      </c>
      <c r="H5" s="37">
        <f t="shared" si="3"/>
        <v>0</v>
      </c>
      <c r="I5" s="38">
        <f>COUNTIF(Vertices[Out-Degree], "&gt;= " &amp; H5) - COUNTIF(Vertices[Out-Degree], "&gt;=" &amp; H6)</f>
        <v>0</v>
      </c>
      <c r="J5" s="37">
        <f t="shared" si="4"/>
        <v>0</v>
      </c>
      <c r="K5" s="38">
        <f>COUNTIF(Vertices[Betweenness Centrality], "&gt;= " &amp; J5) - COUNTIF(Vertices[Betweenness Centrality], "&gt;=" &amp; J6)</f>
        <v>0</v>
      </c>
      <c r="L5" s="37">
        <f t="shared" si="5"/>
        <v>0</v>
      </c>
      <c r="M5" s="38">
        <f>COUNTIF(Vertices[Closeness Centrality], "&gt;= " &amp; L5) - COUNTIF(Vertices[Closeness Centrality], "&gt;=" &amp; L6)</f>
        <v>0</v>
      </c>
      <c r="N5" s="37">
        <f t="shared" si="6"/>
        <v>0</v>
      </c>
      <c r="O5" s="38">
        <f>COUNTIF(Vertices[Eigenvector Centrality], "&gt;= " &amp; N5) - COUNTIF(Vertices[Eigenvector Centrality], "&gt;=" &amp; N6)</f>
        <v>0</v>
      </c>
      <c r="P5" s="37">
        <f t="shared" si="7"/>
        <v>0</v>
      </c>
      <c r="Q5" s="38">
        <f>COUNTIF(Vertices[PageRank], "&gt;= " &amp; P5) - COUNTIF(Vertices[PageRank], "&gt;=" &amp; P6)</f>
        <v>0</v>
      </c>
      <c r="R5" s="37">
        <f t="shared" si="8"/>
        <v>0</v>
      </c>
      <c r="S5" s="42">
        <f>COUNTIF(Vertices[Clustering Coefficient], "&gt;= " &amp; R5) - COUNTIF(Vertices[Clustering Coefficient], "&gt;=" &amp; R6)</f>
        <v>0</v>
      </c>
      <c r="T5" s="37">
        <f t="shared" ca="1" si="9"/>
        <v>1591.8167814366957</v>
      </c>
      <c r="U5" s="38">
        <f t="shared" ca="1" si="0"/>
        <v>0</v>
      </c>
    </row>
    <row r="6" spans="1:24" x14ac:dyDescent="0.35">
      <c r="A6" s="32"/>
      <c r="B6" s="32"/>
      <c r="D6" s="30">
        <f t="shared" si="1"/>
        <v>0</v>
      </c>
      <c r="E6">
        <f>COUNTIF(Vertices[Degree], "&gt;= " &amp; D6) - COUNTIF(Vertices[Degree], "&gt;=" &amp; D7)</f>
        <v>0</v>
      </c>
      <c r="F6" s="35">
        <f t="shared" si="2"/>
        <v>0</v>
      </c>
      <c r="G6" s="36">
        <f>COUNTIF(Vertices[In-Degree], "&gt;= " &amp; F6) - COUNTIF(Vertices[In-Degree], "&gt;=" &amp; F7)</f>
        <v>0</v>
      </c>
      <c r="H6" s="35">
        <f t="shared" si="3"/>
        <v>0</v>
      </c>
      <c r="I6" s="36">
        <f>COUNTIF(Vertices[Out-Degree], "&gt;= " &amp; H6) - COUNTIF(Vertices[Out-Degree], "&gt;=" &amp; H7)</f>
        <v>0</v>
      </c>
      <c r="J6" s="35">
        <f t="shared" si="4"/>
        <v>0</v>
      </c>
      <c r="K6" s="36">
        <f>COUNTIF(Vertices[Betweenness Centrality], "&gt;= " &amp; J6) - COUNTIF(Vertices[Betweenness Centrality], "&gt;=" &amp; J7)</f>
        <v>0</v>
      </c>
      <c r="L6" s="35">
        <f t="shared" si="5"/>
        <v>0</v>
      </c>
      <c r="M6" s="36">
        <f>COUNTIF(Vertices[Closeness Centrality], "&gt;= " &amp; L6) - COUNTIF(Vertices[Closeness Centrality], "&gt;=" &amp; L7)</f>
        <v>0</v>
      </c>
      <c r="N6" s="35">
        <f t="shared" si="6"/>
        <v>0</v>
      </c>
      <c r="O6" s="36">
        <f>COUNTIF(Vertices[Eigenvector Centrality], "&gt;= " &amp; N6) - COUNTIF(Vertices[Eigenvector Centrality], "&gt;=" &amp; N7)</f>
        <v>0</v>
      </c>
      <c r="P6" s="35">
        <f t="shared" si="7"/>
        <v>0</v>
      </c>
      <c r="Q6" s="36">
        <f>COUNTIF(Vertices[PageRank], "&gt;= " &amp; P6) - COUNTIF(Vertices[PageRank], "&gt;=" &amp; P7)</f>
        <v>0</v>
      </c>
      <c r="R6" s="35">
        <f t="shared" si="8"/>
        <v>0</v>
      </c>
      <c r="S6" s="41">
        <f>COUNTIF(Vertices[Clustering Coefficient], "&gt;= " &amp; R6) - COUNTIF(Vertices[Clustering Coefficient], "&gt;=" &amp; R7)</f>
        <v>0</v>
      </c>
      <c r="T6" s="35">
        <f t="shared" ca="1" si="9"/>
        <v>1845.6177080939797</v>
      </c>
      <c r="U6" s="36">
        <f t="shared" ca="1" si="0"/>
        <v>0</v>
      </c>
    </row>
    <row r="7" spans="1:24" x14ac:dyDescent="0.35">
      <c r="A7" s="32"/>
      <c r="B7" s="32"/>
      <c r="D7" s="30">
        <f t="shared" si="1"/>
        <v>0</v>
      </c>
      <c r="E7">
        <f>COUNTIF(Vertices[Degree], "&gt;= " &amp; D7) - COUNTIF(Vertices[Degree], "&gt;=" &amp; D8)</f>
        <v>0</v>
      </c>
      <c r="F7" s="37">
        <f t="shared" si="2"/>
        <v>0</v>
      </c>
      <c r="G7" s="38">
        <f>COUNTIF(Vertices[In-Degree], "&gt;= " &amp; F7) - COUNTIF(Vertices[In-Degree], "&gt;=" &amp; F8)</f>
        <v>0</v>
      </c>
      <c r="H7" s="37">
        <f t="shared" si="3"/>
        <v>0</v>
      </c>
      <c r="I7" s="38">
        <f>COUNTIF(Vertices[Out-Degree], "&gt;= " &amp; H7) - COUNTIF(Vertices[Out-Degree], "&gt;=" &amp; H8)</f>
        <v>0</v>
      </c>
      <c r="J7" s="37">
        <f t="shared" si="4"/>
        <v>0</v>
      </c>
      <c r="K7" s="38">
        <f>COUNTIF(Vertices[Betweenness Centrality], "&gt;= " &amp; J7) - COUNTIF(Vertices[Betweenness Centrality], "&gt;=" &amp; J8)</f>
        <v>0</v>
      </c>
      <c r="L7" s="37">
        <f t="shared" si="5"/>
        <v>0</v>
      </c>
      <c r="M7" s="38">
        <f>COUNTIF(Vertices[Closeness Centrality], "&gt;= " &amp; L7) - COUNTIF(Vertices[Closeness Centrality], "&gt;=" &amp; L8)</f>
        <v>0</v>
      </c>
      <c r="N7" s="37">
        <f t="shared" si="6"/>
        <v>0</v>
      </c>
      <c r="O7" s="38">
        <f>COUNTIF(Vertices[Eigenvector Centrality], "&gt;= " &amp; N7) - COUNTIF(Vertices[Eigenvector Centrality], "&gt;=" &amp; N8)</f>
        <v>0</v>
      </c>
      <c r="P7" s="37">
        <f t="shared" si="7"/>
        <v>0</v>
      </c>
      <c r="Q7" s="38">
        <f>COUNTIF(Vertices[PageRank], "&gt;= " &amp; P7) - COUNTIF(Vertices[PageRank], "&gt;=" &amp; P8)</f>
        <v>0</v>
      </c>
      <c r="R7" s="37">
        <f t="shared" si="8"/>
        <v>0</v>
      </c>
      <c r="S7" s="42">
        <f>COUNTIF(Vertices[Clustering Coefficient], "&gt;= " &amp; R7) - COUNTIF(Vertices[Clustering Coefficient], "&gt;=" &amp; R8)</f>
        <v>0</v>
      </c>
      <c r="T7" s="37">
        <f t="shared" ca="1" si="9"/>
        <v>2099.4186347512637</v>
      </c>
      <c r="U7" s="38">
        <f t="shared" ca="1" si="0"/>
        <v>1</v>
      </c>
    </row>
    <row r="8" spans="1:24" x14ac:dyDescent="0.35">
      <c r="A8" s="32"/>
      <c r="B8" s="32"/>
      <c r="D8" s="30">
        <f t="shared" si="1"/>
        <v>0</v>
      </c>
      <c r="E8">
        <f>COUNTIF(Vertices[Degree], "&gt;= " &amp; D8) - COUNTIF(Vertices[Degree], "&gt;=" &amp; D9)</f>
        <v>0</v>
      </c>
      <c r="F8" s="35">
        <f t="shared" si="2"/>
        <v>0</v>
      </c>
      <c r="G8" s="36">
        <f>COUNTIF(Vertices[In-Degree], "&gt;= " &amp; F8) - COUNTIF(Vertices[In-Degree], "&gt;=" &amp; F9)</f>
        <v>0</v>
      </c>
      <c r="H8" s="35">
        <f t="shared" si="3"/>
        <v>0</v>
      </c>
      <c r="I8" s="36">
        <f>COUNTIF(Vertices[Out-Degree], "&gt;= " &amp; H8) - COUNTIF(Vertices[Out-Degree], "&gt;=" &amp; H9)</f>
        <v>0</v>
      </c>
      <c r="J8" s="35">
        <f t="shared" si="4"/>
        <v>0</v>
      </c>
      <c r="K8" s="36">
        <f>COUNTIF(Vertices[Betweenness Centrality], "&gt;= " &amp; J8) - COUNTIF(Vertices[Betweenness Centrality], "&gt;=" &amp; J9)</f>
        <v>0</v>
      </c>
      <c r="L8" s="35">
        <f t="shared" si="5"/>
        <v>0</v>
      </c>
      <c r="M8" s="36">
        <f>COUNTIF(Vertices[Closeness Centrality], "&gt;= " &amp; L8) - COUNTIF(Vertices[Closeness Centrality], "&gt;=" &amp; L9)</f>
        <v>0</v>
      </c>
      <c r="N8" s="35">
        <f t="shared" si="6"/>
        <v>0</v>
      </c>
      <c r="O8" s="36">
        <f>COUNTIF(Vertices[Eigenvector Centrality], "&gt;= " &amp; N8) - COUNTIF(Vertices[Eigenvector Centrality], "&gt;=" &amp; N9)</f>
        <v>0</v>
      </c>
      <c r="P8" s="35">
        <f t="shared" si="7"/>
        <v>0</v>
      </c>
      <c r="Q8" s="36">
        <f>COUNTIF(Vertices[PageRank], "&gt;= " &amp; P8) - COUNTIF(Vertices[PageRank], "&gt;=" &amp; P9)</f>
        <v>0</v>
      </c>
      <c r="R8" s="35">
        <f t="shared" si="8"/>
        <v>0</v>
      </c>
      <c r="S8" s="41">
        <f>COUNTIF(Vertices[Clustering Coefficient], "&gt;= " &amp; R8) - COUNTIF(Vertices[Clustering Coefficient], "&gt;=" &amp; R9)</f>
        <v>0</v>
      </c>
      <c r="T8" s="35">
        <f t="shared" ca="1" si="9"/>
        <v>2353.2195614085476</v>
      </c>
      <c r="U8" s="36">
        <f t="shared" ca="1" si="0"/>
        <v>0</v>
      </c>
    </row>
    <row r="9" spans="1:24" x14ac:dyDescent="0.35">
      <c r="A9" s="32"/>
      <c r="B9" s="32"/>
      <c r="D9" s="30">
        <f t="shared" si="1"/>
        <v>0</v>
      </c>
      <c r="E9">
        <f>COUNTIF(Vertices[Degree], "&gt;= " &amp; D9) - COUNTIF(Vertices[Degree], "&gt;=" &amp; D10)</f>
        <v>0</v>
      </c>
      <c r="F9" s="37">
        <f t="shared" si="2"/>
        <v>0</v>
      </c>
      <c r="G9" s="38">
        <f>COUNTIF(Vertices[In-Degree], "&gt;= " &amp; F9) - COUNTIF(Vertices[In-Degree], "&gt;=" &amp; F10)</f>
        <v>0</v>
      </c>
      <c r="H9" s="37">
        <f t="shared" si="3"/>
        <v>0</v>
      </c>
      <c r="I9" s="38">
        <f>COUNTIF(Vertices[Out-Degree], "&gt;= " &amp; H9) - COUNTIF(Vertices[Out-Degree], "&gt;=" &amp; H10)</f>
        <v>0</v>
      </c>
      <c r="J9" s="37">
        <f t="shared" si="4"/>
        <v>0</v>
      </c>
      <c r="K9" s="38">
        <f>COUNTIF(Vertices[Betweenness Centrality], "&gt;= " &amp; J9) - COUNTIF(Vertices[Betweenness Centrality], "&gt;=" &amp; J10)</f>
        <v>0</v>
      </c>
      <c r="L9" s="37">
        <f t="shared" si="5"/>
        <v>0</v>
      </c>
      <c r="M9" s="38">
        <f>COUNTIF(Vertices[Closeness Centrality], "&gt;= " &amp; L9) - COUNTIF(Vertices[Closeness Centrality], "&gt;=" &amp; L10)</f>
        <v>0</v>
      </c>
      <c r="N9" s="37">
        <f t="shared" si="6"/>
        <v>0</v>
      </c>
      <c r="O9" s="38">
        <f>COUNTIF(Vertices[Eigenvector Centrality], "&gt;= " &amp; N9) - COUNTIF(Vertices[Eigenvector Centrality], "&gt;=" &amp; N10)</f>
        <v>0</v>
      </c>
      <c r="P9" s="37">
        <f t="shared" si="7"/>
        <v>0</v>
      </c>
      <c r="Q9" s="38">
        <f>COUNTIF(Vertices[PageRank], "&gt;= " &amp; P9) - COUNTIF(Vertices[PageRank], "&gt;=" &amp; P10)</f>
        <v>0</v>
      </c>
      <c r="R9" s="37">
        <f t="shared" si="8"/>
        <v>0</v>
      </c>
      <c r="S9" s="42">
        <f>COUNTIF(Vertices[Clustering Coefficient], "&gt;= " &amp; R9) - COUNTIF(Vertices[Clustering Coefficient], "&gt;=" &amp; R10)</f>
        <v>0</v>
      </c>
      <c r="T9" s="37">
        <f t="shared" ca="1" si="9"/>
        <v>2607.0204880658316</v>
      </c>
      <c r="U9" s="38">
        <f t="shared" ca="1" si="0"/>
        <v>1</v>
      </c>
    </row>
    <row r="10" spans="1:24" x14ac:dyDescent="0.35">
      <c r="A10" s="32"/>
      <c r="B10" s="32"/>
      <c r="D10" s="30">
        <f t="shared" si="1"/>
        <v>0</v>
      </c>
      <c r="E10">
        <f>COUNTIF(Vertices[Degree], "&gt;= " &amp; D10) - COUNTIF(Vertices[Degree], "&gt;=" &amp; D11)</f>
        <v>0</v>
      </c>
      <c r="F10" s="35">
        <f t="shared" si="2"/>
        <v>0</v>
      </c>
      <c r="G10" s="36">
        <f>COUNTIF(Vertices[In-Degree], "&gt;= " &amp; F10) - COUNTIF(Vertices[In-Degree], "&gt;=" &amp; F11)</f>
        <v>0</v>
      </c>
      <c r="H10" s="35">
        <f t="shared" si="3"/>
        <v>0</v>
      </c>
      <c r="I10" s="36">
        <f>COUNTIF(Vertices[Out-Degree], "&gt;= " &amp; H10) - COUNTIF(Vertices[Out-Degree], "&gt;=" &amp; H11)</f>
        <v>0</v>
      </c>
      <c r="J10" s="35">
        <f t="shared" si="4"/>
        <v>0</v>
      </c>
      <c r="K10" s="36">
        <f>COUNTIF(Vertices[Betweenness Centrality], "&gt;= " &amp; J10) - COUNTIF(Vertices[Betweenness Centrality], "&gt;=" &amp; J11)</f>
        <v>0</v>
      </c>
      <c r="L10" s="35">
        <f t="shared" si="5"/>
        <v>0</v>
      </c>
      <c r="M10" s="36">
        <f>COUNTIF(Vertices[Closeness Centrality], "&gt;= " &amp; L10) - COUNTIF(Vertices[Closeness Centrality], "&gt;=" &amp; L11)</f>
        <v>0</v>
      </c>
      <c r="N10" s="35">
        <f t="shared" si="6"/>
        <v>0</v>
      </c>
      <c r="O10" s="36">
        <f>COUNTIF(Vertices[Eigenvector Centrality], "&gt;= " &amp; N10) - COUNTIF(Vertices[Eigenvector Centrality], "&gt;=" &amp; N11)</f>
        <v>0</v>
      </c>
      <c r="P10" s="35">
        <f t="shared" si="7"/>
        <v>0</v>
      </c>
      <c r="Q10" s="36">
        <f>COUNTIF(Vertices[PageRank], "&gt;= " &amp; P10) - COUNTIF(Vertices[PageRank], "&gt;=" &amp; P11)</f>
        <v>0</v>
      </c>
      <c r="R10" s="35">
        <f t="shared" si="8"/>
        <v>0</v>
      </c>
      <c r="S10" s="41">
        <f>COUNTIF(Vertices[Clustering Coefficient], "&gt;= " &amp; R10) - COUNTIF(Vertices[Clustering Coefficient], "&gt;=" &amp; R11)</f>
        <v>0</v>
      </c>
      <c r="T10" s="35">
        <f t="shared" ca="1" si="9"/>
        <v>2860.8214147231156</v>
      </c>
      <c r="U10" s="36">
        <f t="shared" ca="1" si="0"/>
        <v>0</v>
      </c>
    </row>
    <row r="11" spans="1:24" x14ac:dyDescent="0.35">
      <c r="A11" s="32"/>
      <c r="B11" s="32"/>
      <c r="D11" s="30">
        <f t="shared" si="1"/>
        <v>0</v>
      </c>
      <c r="E11">
        <f>COUNTIF(Vertices[Degree], "&gt;= " &amp; D11) - COUNTIF(Vertices[Degree], "&gt;=" &amp; D12)</f>
        <v>0</v>
      </c>
      <c r="F11" s="37">
        <f t="shared" si="2"/>
        <v>0</v>
      </c>
      <c r="G11" s="38">
        <f>COUNTIF(Vertices[In-Degree], "&gt;= " &amp; F11) - COUNTIF(Vertices[In-Degree], "&gt;=" &amp; F12)</f>
        <v>0</v>
      </c>
      <c r="H11" s="37">
        <f t="shared" si="3"/>
        <v>0</v>
      </c>
      <c r="I11" s="38">
        <f>COUNTIF(Vertices[Out-Degree], "&gt;= " &amp; H11) - COUNTIF(Vertices[Out-Degree], "&gt;=" &amp; H12)</f>
        <v>0</v>
      </c>
      <c r="J11" s="37">
        <f t="shared" si="4"/>
        <v>0</v>
      </c>
      <c r="K11" s="38">
        <f>COUNTIF(Vertices[Betweenness Centrality], "&gt;= " &amp; J11) - COUNTIF(Vertices[Betweenness Centrality], "&gt;=" &amp; J12)</f>
        <v>0</v>
      </c>
      <c r="L11" s="37">
        <f t="shared" si="5"/>
        <v>0</v>
      </c>
      <c r="M11" s="38">
        <f>COUNTIF(Vertices[Closeness Centrality], "&gt;= " &amp; L11) - COUNTIF(Vertices[Closeness Centrality], "&gt;=" &amp; L12)</f>
        <v>0</v>
      </c>
      <c r="N11" s="37">
        <f t="shared" si="6"/>
        <v>0</v>
      </c>
      <c r="O11" s="38">
        <f>COUNTIF(Vertices[Eigenvector Centrality], "&gt;= " &amp; N11) - COUNTIF(Vertices[Eigenvector Centrality], "&gt;=" &amp; N12)</f>
        <v>0</v>
      </c>
      <c r="P11" s="37">
        <f t="shared" si="7"/>
        <v>0</v>
      </c>
      <c r="Q11" s="38">
        <f>COUNTIF(Vertices[PageRank], "&gt;= " &amp; P11) - COUNTIF(Vertices[PageRank], "&gt;=" &amp; P12)</f>
        <v>0</v>
      </c>
      <c r="R11" s="37">
        <f t="shared" si="8"/>
        <v>0</v>
      </c>
      <c r="S11" s="42">
        <f>COUNTIF(Vertices[Clustering Coefficient], "&gt;= " &amp; R11) - COUNTIF(Vertices[Clustering Coefficient], "&gt;=" &amp; R12)</f>
        <v>0</v>
      </c>
      <c r="T11" s="37">
        <f t="shared" ca="1" si="9"/>
        <v>3114.6223413803996</v>
      </c>
      <c r="U11" s="38">
        <f t="shared" ca="1" si="0"/>
        <v>0</v>
      </c>
    </row>
    <row r="12" spans="1:24" x14ac:dyDescent="0.35">
      <c r="A12" s="32"/>
      <c r="B12" s="32"/>
      <c r="D12" s="30">
        <f t="shared" si="1"/>
        <v>0</v>
      </c>
      <c r="E12">
        <f>COUNTIF(Vertices[Degree], "&gt;= " &amp; D12) - COUNTIF(Vertices[Degree], "&gt;=" &amp; D13)</f>
        <v>0</v>
      </c>
      <c r="F12" s="35">
        <f t="shared" si="2"/>
        <v>0</v>
      </c>
      <c r="G12" s="36">
        <f>COUNTIF(Vertices[In-Degree], "&gt;= " &amp; F12) - COUNTIF(Vertices[In-Degree], "&gt;=" &amp; F13)</f>
        <v>0</v>
      </c>
      <c r="H12" s="35">
        <f t="shared" si="3"/>
        <v>0</v>
      </c>
      <c r="I12" s="36">
        <f>COUNTIF(Vertices[Out-Degree], "&gt;= " &amp; H12) - COUNTIF(Vertices[Out-Degree], "&gt;=" &amp; H13)</f>
        <v>0</v>
      </c>
      <c r="J12" s="35">
        <f t="shared" si="4"/>
        <v>0</v>
      </c>
      <c r="K12" s="36">
        <f>COUNTIF(Vertices[Betweenness Centrality], "&gt;= " &amp; J12) - COUNTIF(Vertices[Betweenness Centrality], "&gt;=" &amp; J13)</f>
        <v>0</v>
      </c>
      <c r="L12" s="35">
        <f t="shared" si="5"/>
        <v>0</v>
      </c>
      <c r="M12" s="36">
        <f>COUNTIF(Vertices[Closeness Centrality], "&gt;= " &amp; L12) - COUNTIF(Vertices[Closeness Centrality], "&gt;=" &amp; L13)</f>
        <v>0</v>
      </c>
      <c r="N12" s="35">
        <f t="shared" si="6"/>
        <v>0</v>
      </c>
      <c r="O12" s="36">
        <f>COUNTIF(Vertices[Eigenvector Centrality], "&gt;= " &amp; N12) - COUNTIF(Vertices[Eigenvector Centrality], "&gt;=" &amp; N13)</f>
        <v>0</v>
      </c>
      <c r="P12" s="35">
        <f t="shared" si="7"/>
        <v>0</v>
      </c>
      <c r="Q12" s="36">
        <f>COUNTIF(Vertices[PageRank], "&gt;= " &amp; P12) - COUNTIF(Vertices[PageRank], "&gt;=" &amp; P13)</f>
        <v>0</v>
      </c>
      <c r="R12" s="35">
        <f t="shared" si="8"/>
        <v>0</v>
      </c>
      <c r="S12" s="41">
        <f>COUNTIF(Vertices[Clustering Coefficient], "&gt;= " &amp; R12) - COUNTIF(Vertices[Clustering Coefficient], "&gt;=" &amp; R13)</f>
        <v>0</v>
      </c>
      <c r="T12" s="35">
        <f t="shared" ca="1" si="9"/>
        <v>3368.4232680376836</v>
      </c>
      <c r="U12" s="36">
        <f t="shared" ca="1" si="0"/>
        <v>0</v>
      </c>
    </row>
    <row r="13" spans="1:24" x14ac:dyDescent="0.35">
      <c r="A13" s="32"/>
      <c r="B13" s="32"/>
      <c r="D13" s="30">
        <f t="shared" si="1"/>
        <v>0</v>
      </c>
      <c r="E13">
        <f>COUNTIF(Vertices[Degree], "&gt;= " &amp; D13) - COUNTIF(Vertices[Degree], "&gt;=" &amp; D14)</f>
        <v>0</v>
      </c>
      <c r="F13" s="37">
        <f t="shared" si="2"/>
        <v>0</v>
      </c>
      <c r="G13" s="38">
        <f>COUNTIF(Vertices[In-Degree], "&gt;= " &amp; F13) - COUNTIF(Vertices[In-Degree], "&gt;=" &amp; F14)</f>
        <v>0</v>
      </c>
      <c r="H13" s="37">
        <f t="shared" si="3"/>
        <v>0</v>
      </c>
      <c r="I13" s="38">
        <f>COUNTIF(Vertices[Out-Degree], "&gt;= " &amp; H13) - COUNTIF(Vertices[Out-Degree], "&gt;=" &amp; H14)</f>
        <v>0</v>
      </c>
      <c r="J13" s="37">
        <f t="shared" si="4"/>
        <v>0</v>
      </c>
      <c r="K13" s="38">
        <f>COUNTIF(Vertices[Betweenness Centrality], "&gt;= " &amp; J13) - COUNTIF(Vertices[Betweenness Centrality], "&gt;=" &amp; J14)</f>
        <v>0</v>
      </c>
      <c r="L13" s="37">
        <f t="shared" si="5"/>
        <v>0</v>
      </c>
      <c r="M13" s="38">
        <f>COUNTIF(Vertices[Closeness Centrality], "&gt;= " &amp; L13) - COUNTIF(Vertices[Closeness Centrality], "&gt;=" &amp; L14)</f>
        <v>0</v>
      </c>
      <c r="N13" s="37">
        <f t="shared" si="6"/>
        <v>0</v>
      </c>
      <c r="O13" s="38">
        <f>COUNTIF(Vertices[Eigenvector Centrality], "&gt;= " &amp; N13) - COUNTIF(Vertices[Eigenvector Centrality], "&gt;=" &amp; N14)</f>
        <v>0</v>
      </c>
      <c r="P13" s="37">
        <f t="shared" si="7"/>
        <v>0</v>
      </c>
      <c r="Q13" s="38">
        <f>COUNTIF(Vertices[PageRank], "&gt;= " &amp; P13) - COUNTIF(Vertices[PageRank], "&gt;=" &amp; P14)</f>
        <v>0</v>
      </c>
      <c r="R13" s="37">
        <f t="shared" si="8"/>
        <v>0</v>
      </c>
      <c r="S13" s="42">
        <f>COUNTIF(Vertices[Clustering Coefficient], "&gt;= " &amp; R13) - COUNTIF(Vertices[Clustering Coefficient], "&gt;=" &amp; R14)</f>
        <v>0</v>
      </c>
      <c r="T13" s="37">
        <f t="shared" ca="1" si="9"/>
        <v>3622.2241946949675</v>
      </c>
      <c r="U13" s="38">
        <f t="shared" ca="1" si="0"/>
        <v>0</v>
      </c>
    </row>
    <row r="14" spans="1:24" x14ac:dyDescent="0.35">
      <c r="A14" s="32"/>
      <c r="B14" s="32"/>
      <c r="D14" s="30">
        <f t="shared" si="1"/>
        <v>0</v>
      </c>
      <c r="E14">
        <f>COUNTIF(Vertices[Degree], "&gt;= " &amp; D14) - COUNTIF(Vertices[Degree], "&gt;=" &amp; D15)</f>
        <v>0</v>
      </c>
      <c r="F14" s="35">
        <f t="shared" si="2"/>
        <v>0</v>
      </c>
      <c r="G14" s="36">
        <f>COUNTIF(Vertices[In-Degree], "&gt;= " &amp; F14) - COUNTIF(Vertices[In-Degree], "&gt;=" &amp; F15)</f>
        <v>0</v>
      </c>
      <c r="H14" s="35">
        <f t="shared" si="3"/>
        <v>0</v>
      </c>
      <c r="I14" s="36">
        <f>COUNTIF(Vertices[Out-Degree], "&gt;= " &amp; H14) - COUNTIF(Vertices[Out-Degree], "&gt;=" &amp; H15)</f>
        <v>0</v>
      </c>
      <c r="J14" s="35">
        <f t="shared" si="4"/>
        <v>0</v>
      </c>
      <c r="K14" s="36">
        <f>COUNTIF(Vertices[Betweenness Centrality], "&gt;= " &amp; J14) - COUNTIF(Vertices[Betweenness Centrality], "&gt;=" &amp; J15)</f>
        <v>0</v>
      </c>
      <c r="L14" s="35">
        <f t="shared" si="5"/>
        <v>0</v>
      </c>
      <c r="M14" s="36">
        <f>COUNTIF(Vertices[Closeness Centrality], "&gt;= " &amp; L14) - COUNTIF(Vertices[Closeness Centrality], "&gt;=" &amp; L15)</f>
        <v>0</v>
      </c>
      <c r="N14" s="35">
        <f t="shared" si="6"/>
        <v>0</v>
      </c>
      <c r="O14" s="36">
        <f>COUNTIF(Vertices[Eigenvector Centrality], "&gt;= " &amp; N14) - COUNTIF(Vertices[Eigenvector Centrality], "&gt;=" &amp; N15)</f>
        <v>0</v>
      </c>
      <c r="P14" s="35">
        <f t="shared" si="7"/>
        <v>0</v>
      </c>
      <c r="Q14" s="36">
        <f>COUNTIF(Vertices[PageRank], "&gt;= " &amp; P14) - COUNTIF(Vertices[PageRank], "&gt;=" &amp; P15)</f>
        <v>0</v>
      </c>
      <c r="R14" s="35">
        <f t="shared" si="8"/>
        <v>0</v>
      </c>
      <c r="S14" s="41">
        <f>COUNTIF(Vertices[Clustering Coefficient], "&gt;= " &amp; R14) - COUNTIF(Vertices[Clustering Coefficient], "&gt;=" &amp; R15)</f>
        <v>0</v>
      </c>
      <c r="T14" s="35">
        <f t="shared" ca="1" si="9"/>
        <v>3876.0251213522515</v>
      </c>
      <c r="U14" s="36">
        <f t="shared" ca="1" si="0"/>
        <v>0</v>
      </c>
    </row>
    <row r="15" spans="1:24" x14ac:dyDescent="0.35">
      <c r="A15" s="32"/>
      <c r="B15" s="32"/>
      <c r="D15" s="30">
        <f t="shared" si="1"/>
        <v>0</v>
      </c>
      <c r="E15">
        <f>COUNTIF(Vertices[Degree], "&gt;= " &amp; D15) - COUNTIF(Vertices[Degree], "&gt;=" &amp; D16)</f>
        <v>0</v>
      </c>
      <c r="F15" s="37">
        <f t="shared" si="2"/>
        <v>0</v>
      </c>
      <c r="G15" s="38">
        <f>COUNTIF(Vertices[In-Degree], "&gt;= " &amp; F15) - COUNTIF(Vertices[In-Degree], "&gt;=" &amp; F16)</f>
        <v>0</v>
      </c>
      <c r="H15" s="37">
        <f t="shared" si="3"/>
        <v>0</v>
      </c>
      <c r="I15" s="38">
        <f>COUNTIF(Vertices[Out-Degree], "&gt;= " &amp; H15) - COUNTIF(Vertices[Out-Degree], "&gt;=" &amp; H16)</f>
        <v>0</v>
      </c>
      <c r="J15" s="37">
        <f t="shared" si="4"/>
        <v>0</v>
      </c>
      <c r="K15" s="38">
        <f>COUNTIF(Vertices[Betweenness Centrality], "&gt;= " &amp; J15) - COUNTIF(Vertices[Betweenness Centrality], "&gt;=" &amp; J16)</f>
        <v>0</v>
      </c>
      <c r="L15" s="37">
        <f t="shared" si="5"/>
        <v>0</v>
      </c>
      <c r="M15" s="38">
        <f>COUNTIF(Vertices[Closeness Centrality], "&gt;= " &amp; L15) - COUNTIF(Vertices[Closeness Centrality], "&gt;=" &amp; L16)</f>
        <v>0</v>
      </c>
      <c r="N15" s="37">
        <f t="shared" si="6"/>
        <v>0</v>
      </c>
      <c r="O15" s="38">
        <f>COUNTIF(Vertices[Eigenvector Centrality], "&gt;= " &amp; N15) - COUNTIF(Vertices[Eigenvector Centrality], "&gt;=" &amp; N16)</f>
        <v>0</v>
      </c>
      <c r="P15" s="37">
        <f t="shared" si="7"/>
        <v>0</v>
      </c>
      <c r="Q15" s="38">
        <f>COUNTIF(Vertices[PageRank], "&gt;= " &amp; P15) - COUNTIF(Vertices[PageRank], "&gt;=" &amp; P16)</f>
        <v>0</v>
      </c>
      <c r="R15" s="37">
        <f t="shared" si="8"/>
        <v>0</v>
      </c>
      <c r="S15" s="42">
        <f>COUNTIF(Vertices[Clustering Coefficient], "&gt;= " &amp; R15) - COUNTIF(Vertices[Clustering Coefficient], "&gt;=" &amp; R16)</f>
        <v>0</v>
      </c>
      <c r="T15" s="37">
        <f t="shared" ca="1" si="9"/>
        <v>4129.826048009536</v>
      </c>
      <c r="U15" s="38">
        <f t="shared" ca="1" si="0"/>
        <v>0</v>
      </c>
    </row>
    <row r="16" spans="1:24" x14ac:dyDescent="0.35">
      <c r="A16" s="32"/>
      <c r="B16" s="32"/>
      <c r="D16" s="30">
        <f t="shared" si="1"/>
        <v>0</v>
      </c>
      <c r="E16">
        <f>COUNTIF(Vertices[Degree], "&gt;= " &amp; D16) - COUNTIF(Vertices[Degree], "&gt;=" &amp; D17)</f>
        <v>0</v>
      </c>
      <c r="F16" s="35">
        <f t="shared" si="2"/>
        <v>0</v>
      </c>
      <c r="G16" s="36">
        <f>COUNTIF(Vertices[In-Degree], "&gt;= " &amp; F16) - COUNTIF(Vertices[In-Degree], "&gt;=" &amp; F17)</f>
        <v>0</v>
      </c>
      <c r="H16" s="35">
        <f t="shared" si="3"/>
        <v>0</v>
      </c>
      <c r="I16" s="36">
        <f>COUNTIF(Vertices[Out-Degree], "&gt;= " &amp; H16) - COUNTIF(Vertices[Out-Degree], "&gt;=" &amp; H17)</f>
        <v>0</v>
      </c>
      <c r="J16" s="35">
        <f t="shared" si="4"/>
        <v>0</v>
      </c>
      <c r="K16" s="36">
        <f>COUNTIF(Vertices[Betweenness Centrality], "&gt;= " &amp; J16) - COUNTIF(Vertices[Betweenness Centrality], "&gt;=" &amp; J17)</f>
        <v>0</v>
      </c>
      <c r="L16" s="35">
        <f t="shared" si="5"/>
        <v>0</v>
      </c>
      <c r="M16" s="36">
        <f>COUNTIF(Vertices[Closeness Centrality], "&gt;= " &amp; L16) - COUNTIF(Vertices[Closeness Centrality], "&gt;=" &amp; L17)</f>
        <v>0</v>
      </c>
      <c r="N16" s="35">
        <f t="shared" si="6"/>
        <v>0</v>
      </c>
      <c r="O16" s="36">
        <f>COUNTIF(Vertices[Eigenvector Centrality], "&gt;= " &amp; N16) - COUNTIF(Vertices[Eigenvector Centrality], "&gt;=" &amp; N17)</f>
        <v>0</v>
      </c>
      <c r="P16" s="35">
        <f t="shared" si="7"/>
        <v>0</v>
      </c>
      <c r="Q16" s="36">
        <f>COUNTIF(Vertices[PageRank], "&gt;= " &amp; P16) - COUNTIF(Vertices[PageRank], "&gt;=" &amp; P17)</f>
        <v>0</v>
      </c>
      <c r="R16" s="35">
        <f t="shared" si="8"/>
        <v>0</v>
      </c>
      <c r="S16" s="41">
        <f>COUNTIF(Vertices[Clustering Coefficient], "&gt;= " &amp; R16) - COUNTIF(Vertices[Clustering Coefficient], "&gt;=" &amp; R17)</f>
        <v>0</v>
      </c>
      <c r="T16" s="35">
        <f t="shared" ca="1" si="9"/>
        <v>4383.6269746668204</v>
      </c>
      <c r="U16" s="36">
        <f t="shared" ca="1" si="0"/>
        <v>0</v>
      </c>
    </row>
    <row r="17" spans="1:21" x14ac:dyDescent="0.35">
      <c r="A17" s="32"/>
      <c r="B17" s="32"/>
      <c r="D17" s="30">
        <f t="shared" si="1"/>
        <v>0</v>
      </c>
      <c r="E17">
        <f>COUNTIF(Vertices[Degree], "&gt;= " &amp; D17) - COUNTIF(Vertices[Degree], "&gt;=" &amp; D18)</f>
        <v>0</v>
      </c>
      <c r="F17" s="37">
        <f t="shared" si="2"/>
        <v>0</v>
      </c>
      <c r="G17" s="38">
        <f>COUNTIF(Vertices[In-Degree], "&gt;= " &amp; F17) - COUNTIF(Vertices[In-Degree], "&gt;=" &amp; F18)</f>
        <v>0</v>
      </c>
      <c r="H17" s="37">
        <f t="shared" si="3"/>
        <v>0</v>
      </c>
      <c r="I17" s="38">
        <f>COUNTIF(Vertices[Out-Degree], "&gt;= " &amp; H17) - COUNTIF(Vertices[Out-Degree], "&gt;=" &amp; H18)</f>
        <v>0</v>
      </c>
      <c r="J17" s="37">
        <f t="shared" si="4"/>
        <v>0</v>
      </c>
      <c r="K17" s="38">
        <f>COUNTIF(Vertices[Betweenness Centrality], "&gt;= " &amp; J17) - COUNTIF(Vertices[Betweenness Centrality], "&gt;=" &amp; J18)</f>
        <v>0</v>
      </c>
      <c r="L17" s="37">
        <f t="shared" si="5"/>
        <v>0</v>
      </c>
      <c r="M17" s="38">
        <f>COUNTIF(Vertices[Closeness Centrality], "&gt;= " &amp; L17) - COUNTIF(Vertices[Closeness Centrality], "&gt;=" &amp; L18)</f>
        <v>0</v>
      </c>
      <c r="N17" s="37">
        <f t="shared" si="6"/>
        <v>0</v>
      </c>
      <c r="O17" s="38">
        <f>COUNTIF(Vertices[Eigenvector Centrality], "&gt;= " &amp; N17) - COUNTIF(Vertices[Eigenvector Centrality], "&gt;=" &amp; N18)</f>
        <v>0</v>
      </c>
      <c r="P17" s="37">
        <f t="shared" si="7"/>
        <v>0</v>
      </c>
      <c r="Q17" s="38">
        <f>COUNTIF(Vertices[PageRank], "&gt;= " &amp; P17) - COUNTIF(Vertices[PageRank], "&gt;=" &amp; P18)</f>
        <v>0</v>
      </c>
      <c r="R17" s="37">
        <f t="shared" si="8"/>
        <v>0</v>
      </c>
      <c r="S17" s="42">
        <f>COUNTIF(Vertices[Clustering Coefficient], "&gt;= " &amp; R17) - COUNTIF(Vertices[Clustering Coefficient], "&gt;=" &amp; R18)</f>
        <v>0</v>
      </c>
      <c r="T17" s="37">
        <f t="shared" ca="1" si="9"/>
        <v>4637.4279013241048</v>
      </c>
      <c r="U17" s="38">
        <f t="shared" ca="1" si="0"/>
        <v>0</v>
      </c>
    </row>
    <row r="18" spans="1:21" x14ac:dyDescent="0.35">
      <c r="A18" s="32"/>
      <c r="B18" s="32"/>
      <c r="D18" s="30">
        <f t="shared" si="1"/>
        <v>0</v>
      </c>
      <c r="E18">
        <f>COUNTIF(Vertices[Degree], "&gt;= " &amp; D18) - COUNTIF(Vertices[Degree], "&gt;=" &amp; D19)</f>
        <v>0</v>
      </c>
      <c r="F18" s="35">
        <f t="shared" si="2"/>
        <v>0</v>
      </c>
      <c r="G18" s="36">
        <f>COUNTIF(Vertices[In-Degree], "&gt;= " &amp; F18) - COUNTIF(Vertices[In-Degree], "&gt;=" &amp; F19)</f>
        <v>0</v>
      </c>
      <c r="H18" s="35">
        <f t="shared" si="3"/>
        <v>0</v>
      </c>
      <c r="I18" s="36">
        <f>COUNTIF(Vertices[Out-Degree], "&gt;= " &amp; H18) - COUNTIF(Vertices[Out-Degree], "&gt;=" &amp; H19)</f>
        <v>0</v>
      </c>
      <c r="J18" s="35">
        <f t="shared" si="4"/>
        <v>0</v>
      </c>
      <c r="K18" s="36">
        <f>COUNTIF(Vertices[Betweenness Centrality], "&gt;= " &amp; J18) - COUNTIF(Vertices[Betweenness Centrality], "&gt;=" &amp; J19)</f>
        <v>0</v>
      </c>
      <c r="L18" s="35">
        <f t="shared" si="5"/>
        <v>0</v>
      </c>
      <c r="M18" s="36">
        <f>COUNTIF(Vertices[Closeness Centrality], "&gt;= " &amp; L18) - COUNTIF(Vertices[Closeness Centrality], "&gt;=" &amp; L19)</f>
        <v>0</v>
      </c>
      <c r="N18" s="35">
        <f t="shared" si="6"/>
        <v>0</v>
      </c>
      <c r="O18" s="36">
        <f>COUNTIF(Vertices[Eigenvector Centrality], "&gt;= " &amp; N18) - COUNTIF(Vertices[Eigenvector Centrality], "&gt;=" &amp; N19)</f>
        <v>0</v>
      </c>
      <c r="P18" s="35">
        <f t="shared" si="7"/>
        <v>0</v>
      </c>
      <c r="Q18" s="36">
        <f>COUNTIF(Vertices[PageRank], "&gt;= " &amp; P18) - COUNTIF(Vertices[PageRank], "&gt;=" &amp; P19)</f>
        <v>0</v>
      </c>
      <c r="R18" s="35">
        <f t="shared" si="8"/>
        <v>0</v>
      </c>
      <c r="S18" s="41">
        <f>COUNTIF(Vertices[Clustering Coefficient], "&gt;= " &amp; R18) - COUNTIF(Vertices[Clustering Coefficient], "&gt;=" &amp; R19)</f>
        <v>0</v>
      </c>
      <c r="T18" s="35">
        <f t="shared" ca="1" si="9"/>
        <v>4891.2288279813893</v>
      </c>
      <c r="U18" s="36">
        <f t="shared" ca="1" si="0"/>
        <v>0</v>
      </c>
    </row>
    <row r="19" spans="1:21" x14ac:dyDescent="0.35">
      <c r="A19" s="32"/>
      <c r="B19" s="32"/>
      <c r="D19" s="30">
        <f t="shared" si="1"/>
        <v>0</v>
      </c>
      <c r="E19">
        <f>COUNTIF(Vertices[Degree], "&gt;= " &amp; D19) - COUNTIF(Vertices[Degree], "&gt;=" &amp; D20)</f>
        <v>0</v>
      </c>
      <c r="F19" s="37">
        <f t="shared" si="2"/>
        <v>0</v>
      </c>
      <c r="G19" s="38">
        <f>COUNTIF(Vertices[In-Degree], "&gt;= " &amp; F19) - COUNTIF(Vertices[In-Degree], "&gt;=" &amp; F20)</f>
        <v>0</v>
      </c>
      <c r="H19" s="37">
        <f t="shared" si="3"/>
        <v>0</v>
      </c>
      <c r="I19" s="38">
        <f>COUNTIF(Vertices[Out-Degree], "&gt;= " &amp; H19) - COUNTIF(Vertices[Out-Degree], "&gt;=" &amp; H20)</f>
        <v>0</v>
      </c>
      <c r="J19" s="37">
        <f t="shared" si="4"/>
        <v>0</v>
      </c>
      <c r="K19" s="38">
        <f>COUNTIF(Vertices[Betweenness Centrality], "&gt;= " &amp; J19) - COUNTIF(Vertices[Betweenness Centrality], "&gt;=" &amp; J20)</f>
        <v>0</v>
      </c>
      <c r="L19" s="37">
        <f t="shared" si="5"/>
        <v>0</v>
      </c>
      <c r="M19" s="38">
        <f>COUNTIF(Vertices[Closeness Centrality], "&gt;= " &amp; L19) - COUNTIF(Vertices[Closeness Centrality], "&gt;=" &amp; L20)</f>
        <v>0</v>
      </c>
      <c r="N19" s="37">
        <f t="shared" si="6"/>
        <v>0</v>
      </c>
      <c r="O19" s="38">
        <f>COUNTIF(Vertices[Eigenvector Centrality], "&gt;= " &amp; N19) - COUNTIF(Vertices[Eigenvector Centrality], "&gt;=" &amp; N20)</f>
        <v>0</v>
      </c>
      <c r="P19" s="37">
        <f t="shared" si="7"/>
        <v>0</v>
      </c>
      <c r="Q19" s="38">
        <f>COUNTIF(Vertices[PageRank], "&gt;= " &amp; P19) - COUNTIF(Vertices[PageRank], "&gt;=" &amp; P20)</f>
        <v>0</v>
      </c>
      <c r="R19" s="37">
        <f t="shared" si="8"/>
        <v>0</v>
      </c>
      <c r="S19" s="42">
        <f>COUNTIF(Vertices[Clustering Coefficient], "&gt;= " &amp; R19) - COUNTIF(Vertices[Clustering Coefficient], "&gt;=" &amp; R20)</f>
        <v>0</v>
      </c>
      <c r="T19" s="37">
        <f t="shared" ca="1" si="9"/>
        <v>5145.0297546386737</v>
      </c>
      <c r="U19" s="38">
        <f t="shared" ca="1" si="0"/>
        <v>0</v>
      </c>
    </row>
    <row r="20" spans="1:21" x14ac:dyDescent="0.35">
      <c r="A20" s="32"/>
      <c r="B20" s="32"/>
      <c r="D20" s="30">
        <f t="shared" si="1"/>
        <v>0</v>
      </c>
      <c r="E20">
        <f>COUNTIF(Vertices[Degree], "&gt;= " &amp; D20) - COUNTIF(Vertices[Degree], "&gt;=" &amp; D21)</f>
        <v>0</v>
      </c>
      <c r="F20" s="35">
        <f t="shared" si="2"/>
        <v>0</v>
      </c>
      <c r="G20" s="36">
        <f>COUNTIF(Vertices[In-Degree], "&gt;= " &amp; F20) - COUNTIF(Vertices[In-Degree], "&gt;=" &amp; F21)</f>
        <v>0</v>
      </c>
      <c r="H20" s="35">
        <f t="shared" si="3"/>
        <v>0</v>
      </c>
      <c r="I20" s="36">
        <f>COUNTIF(Vertices[Out-Degree], "&gt;= " &amp; H20) - COUNTIF(Vertices[Out-Degree], "&gt;=" &amp; H21)</f>
        <v>0</v>
      </c>
      <c r="J20" s="35">
        <f t="shared" si="4"/>
        <v>0</v>
      </c>
      <c r="K20" s="36">
        <f>COUNTIF(Vertices[Betweenness Centrality], "&gt;= " &amp; J20) - COUNTIF(Vertices[Betweenness Centrality], "&gt;=" &amp; J21)</f>
        <v>0</v>
      </c>
      <c r="L20" s="35">
        <f t="shared" si="5"/>
        <v>0</v>
      </c>
      <c r="M20" s="36">
        <f>COUNTIF(Vertices[Closeness Centrality], "&gt;= " &amp; L20) - COUNTIF(Vertices[Closeness Centrality], "&gt;=" &amp; L21)</f>
        <v>0</v>
      </c>
      <c r="N20" s="35">
        <f t="shared" si="6"/>
        <v>0</v>
      </c>
      <c r="O20" s="36">
        <f>COUNTIF(Vertices[Eigenvector Centrality], "&gt;= " &amp; N20) - COUNTIF(Vertices[Eigenvector Centrality], "&gt;=" &amp; N21)</f>
        <v>0</v>
      </c>
      <c r="P20" s="35">
        <f t="shared" si="7"/>
        <v>0</v>
      </c>
      <c r="Q20" s="36">
        <f>COUNTIF(Vertices[PageRank], "&gt;= " &amp; P20) - COUNTIF(Vertices[PageRank], "&gt;=" &amp; P21)</f>
        <v>0</v>
      </c>
      <c r="R20" s="35">
        <f t="shared" si="8"/>
        <v>0</v>
      </c>
      <c r="S20" s="41">
        <f>COUNTIF(Vertices[Clustering Coefficient], "&gt;= " &amp; R20) - COUNTIF(Vertices[Clustering Coefficient], "&gt;=" &amp; R21)</f>
        <v>0</v>
      </c>
      <c r="T20" s="35">
        <f t="shared" ca="1" si="9"/>
        <v>5398.8306812959581</v>
      </c>
      <c r="U20" s="36">
        <f t="shared" ca="1" si="0"/>
        <v>0</v>
      </c>
    </row>
    <row r="21" spans="1:21" x14ac:dyDescent="0.35">
      <c r="A21" s="32"/>
      <c r="B21" s="32"/>
      <c r="D21" s="30">
        <f t="shared" si="1"/>
        <v>0</v>
      </c>
      <c r="E21">
        <f>COUNTIF(Vertices[Degree], "&gt;= " &amp; D21) - COUNTIF(Vertices[Degree], "&gt;=" &amp; D22)</f>
        <v>0</v>
      </c>
      <c r="F21" s="37">
        <f t="shared" si="2"/>
        <v>0</v>
      </c>
      <c r="G21" s="38">
        <f>COUNTIF(Vertices[In-Degree], "&gt;= " &amp; F21) - COUNTIF(Vertices[In-Degree], "&gt;=" &amp; F22)</f>
        <v>0</v>
      </c>
      <c r="H21" s="37">
        <f t="shared" si="3"/>
        <v>0</v>
      </c>
      <c r="I21" s="38">
        <f>COUNTIF(Vertices[Out-Degree], "&gt;= " &amp; H21) - COUNTIF(Vertices[Out-Degree], "&gt;=" &amp; H22)</f>
        <v>0</v>
      </c>
      <c r="J21" s="37">
        <f t="shared" si="4"/>
        <v>0</v>
      </c>
      <c r="K21" s="38">
        <f>COUNTIF(Vertices[Betweenness Centrality], "&gt;= " &amp; J21) - COUNTIF(Vertices[Betweenness Centrality], "&gt;=" &amp; J22)</f>
        <v>0</v>
      </c>
      <c r="L21" s="37">
        <f t="shared" si="5"/>
        <v>0</v>
      </c>
      <c r="M21" s="38">
        <f>COUNTIF(Vertices[Closeness Centrality], "&gt;= " &amp; L21) - COUNTIF(Vertices[Closeness Centrality], "&gt;=" &amp; L22)</f>
        <v>0</v>
      </c>
      <c r="N21" s="37">
        <f t="shared" si="6"/>
        <v>0</v>
      </c>
      <c r="O21" s="38">
        <f>COUNTIF(Vertices[Eigenvector Centrality], "&gt;= " &amp; N21) - COUNTIF(Vertices[Eigenvector Centrality], "&gt;=" &amp; N22)</f>
        <v>0</v>
      </c>
      <c r="P21" s="37">
        <f t="shared" si="7"/>
        <v>0</v>
      </c>
      <c r="Q21" s="38">
        <f>COUNTIF(Vertices[PageRank], "&gt;= " &amp; P21) - COUNTIF(Vertices[PageRank], "&gt;=" &amp; P22)</f>
        <v>0</v>
      </c>
      <c r="R21" s="37">
        <f t="shared" si="8"/>
        <v>0</v>
      </c>
      <c r="S21" s="42">
        <f>COUNTIF(Vertices[Clustering Coefficient], "&gt;= " &amp; R21) - COUNTIF(Vertices[Clustering Coefficient], "&gt;=" &amp; R22)</f>
        <v>0</v>
      </c>
      <c r="T21" s="37">
        <f t="shared" ca="1" si="9"/>
        <v>5652.6316079532426</v>
      </c>
      <c r="U21" s="38">
        <f t="shared" ca="1" si="0"/>
        <v>0</v>
      </c>
    </row>
    <row r="22" spans="1:21" x14ac:dyDescent="0.35">
      <c r="A22" s="32"/>
      <c r="B22" s="32"/>
      <c r="D22" s="30">
        <f t="shared" si="1"/>
        <v>0</v>
      </c>
      <c r="E22">
        <f>COUNTIF(Vertices[Degree], "&gt;= " &amp; D22) - COUNTIF(Vertices[Degree], "&gt;=" &amp; D23)</f>
        <v>0</v>
      </c>
      <c r="F22" s="35">
        <f t="shared" si="2"/>
        <v>0</v>
      </c>
      <c r="G22" s="36">
        <f>COUNTIF(Vertices[In-Degree], "&gt;= " &amp; F22) - COUNTIF(Vertices[In-Degree], "&gt;=" &amp; F23)</f>
        <v>0</v>
      </c>
      <c r="H22" s="35">
        <f t="shared" si="3"/>
        <v>0</v>
      </c>
      <c r="I22" s="36">
        <f>COUNTIF(Vertices[Out-Degree], "&gt;= " &amp; H22) - COUNTIF(Vertices[Out-Degree], "&gt;=" &amp; H23)</f>
        <v>0</v>
      </c>
      <c r="J22" s="35">
        <f t="shared" si="4"/>
        <v>0</v>
      </c>
      <c r="K22" s="36">
        <f>COUNTIF(Vertices[Betweenness Centrality], "&gt;= " &amp; J22) - COUNTIF(Vertices[Betweenness Centrality], "&gt;=" &amp; J23)</f>
        <v>0</v>
      </c>
      <c r="L22" s="35">
        <f t="shared" si="5"/>
        <v>0</v>
      </c>
      <c r="M22" s="36">
        <f>COUNTIF(Vertices[Closeness Centrality], "&gt;= " &amp; L22) - COUNTIF(Vertices[Closeness Centrality], "&gt;=" &amp; L23)</f>
        <v>0</v>
      </c>
      <c r="N22" s="35">
        <f t="shared" si="6"/>
        <v>0</v>
      </c>
      <c r="O22" s="36">
        <f>COUNTIF(Vertices[Eigenvector Centrality], "&gt;= " &amp; N22) - COUNTIF(Vertices[Eigenvector Centrality], "&gt;=" &amp; N23)</f>
        <v>0</v>
      </c>
      <c r="P22" s="35">
        <f t="shared" si="7"/>
        <v>0</v>
      </c>
      <c r="Q22" s="36">
        <f>COUNTIF(Vertices[PageRank], "&gt;= " &amp; P22) - COUNTIF(Vertices[PageRank], "&gt;=" &amp; P23)</f>
        <v>0</v>
      </c>
      <c r="R22" s="35">
        <f t="shared" si="8"/>
        <v>0</v>
      </c>
      <c r="S22" s="41">
        <f>COUNTIF(Vertices[Clustering Coefficient], "&gt;= " &amp; R22) - COUNTIF(Vertices[Clustering Coefficient], "&gt;=" &amp; R23)</f>
        <v>0</v>
      </c>
      <c r="T22" s="35">
        <f t="shared" ca="1" si="9"/>
        <v>5906.432534610527</v>
      </c>
      <c r="U22" s="36">
        <f t="shared" ca="1" si="0"/>
        <v>0</v>
      </c>
    </row>
    <row r="23" spans="1:21" x14ac:dyDescent="0.35">
      <c r="A23" s="32"/>
      <c r="B23" s="32"/>
      <c r="D23" s="30">
        <f t="shared" si="1"/>
        <v>0</v>
      </c>
      <c r="E23">
        <f>COUNTIF(Vertices[Degree], "&gt;= " &amp; D23) - COUNTIF(Vertices[Degree], "&gt;=" &amp; D24)</f>
        <v>0</v>
      </c>
      <c r="F23" s="37">
        <f t="shared" si="2"/>
        <v>0</v>
      </c>
      <c r="G23" s="38">
        <f>COUNTIF(Vertices[In-Degree], "&gt;= " &amp; F23) - COUNTIF(Vertices[In-Degree], "&gt;=" &amp; F24)</f>
        <v>0</v>
      </c>
      <c r="H23" s="37">
        <f t="shared" si="3"/>
        <v>0</v>
      </c>
      <c r="I23" s="38">
        <f>COUNTIF(Vertices[Out-Degree], "&gt;= " &amp; H23) - COUNTIF(Vertices[Out-Degree], "&gt;=" &amp; H24)</f>
        <v>0</v>
      </c>
      <c r="J23" s="37">
        <f t="shared" si="4"/>
        <v>0</v>
      </c>
      <c r="K23" s="38">
        <f>COUNTIF(Vertices[Betweenness Centrality], "&gt;= " &amp; J23) - COUNTIF(Vertices[Betweenness Centrality], "&gt;=" &amp; J24)</f>
        <v>0</v>
      </c>
      <c r="L23" s="37">
        <f t="shared" si="5"/>
        <v>0</v>
      </c>
      <c r="M23" s="38">
        <f>COUNTIF(Vertices[Closeness Centrality], "&gt;= " &amp; L23) - COUNTIF(Vertices[Closeness Centrality], "&gt;=" &amp; L24)</f>
        <v>0</v>
      </c>
      <c r="N23" s="37">
        <f t="shared" si="6"/>
        <v>0</v>
      </c>
      <c r="O23" s="38">
        <f>COUNTIF(Vertices[Eigenvector Centrality], "&gt;= " &amp; N23) - COUNTIF(Vertices[Eigenvector Centrality], "&gt;=" &amp; N24)</f>
        <v>0</v>
      </c>
      <c r="P23" s="37">
        <f t="shared" si="7"/>
        <v>0</v>
      </c>
      <c r="Q23" s="38">
        <f>COUNTIF(Vertices[PageRank], "&gt;= " &amp; P23) - COUNTIF(Vertices[PageRank], "&gt;=" &amp; P24)</f>
        <v>0</v>
      </c>
      <c r="R23" s="37">
        <f t="shared" si="8"/>
        <v>0</v>
      </c>
      <c r="S23" s="42">
        <f>COUNTIF(Vertices[Clustering Coefficient], "&gt;= " &amp; R23) - COUNTIF(Vertices[Clustering Coefficient], "&gt;=" &amp; R24)</f>
        <v>0</v>
      </c>
      <c r="T23" s="37">
        <f t="shared" ca="1" si="9"/>
        <v>6160.2334612678114</v>
      </c>
      <c r="U23" s="38">
        <f t="shared" ca="1" si="0"/>
        <v>0</v>
      </c>
    </row>
    <row r="24" spans="1:21" x14ac:dyDescent="0.35">
      <c r="A24" s="32"/>
      <c r="B24" s="32"/>
      <c r="D24" s="30">
        <f t="shared" si="1"/>
        <v>0</v>
      </c>
      <c r="E24">
        <f>COUNTIF(Vertices[Degree], "&gt;= " &amp; D24) - COUNTIF(Vertices[Degree], "&gt;=" &amp; D25)</f>
        <v>0</v>
      </c>
      <c r="F24" s="35">
        <f t="shared" si="2"/>
        <v>0</v>
      </c>
      <c r="G24" s="36">
        <f>COUNTIF(Vertices[In-Degree], "&gt;= " &amp; F24) - COUNTIF(Vertices[In-Degree], "&gt;=" &amp; F25)</f>
        <v>0</v>
      </c>
      <c r="H24" s="35">
        <f t="shared" si="3"/>
        <v>0</v>
      </c>
      <c r="I24" s="36">
        <f>COUNTIF(Vertices[Out-Degree], "&gt;= " &amp; H24) - COUNTIF(Vertices[Out-Degree], "&gt;=" &amp; H25)</f>
        <v>0</v>
      </c>
      <c r="J24" s="35">
        <f t="shared" si="4"/>
        <v>0</v>
      </c>
      <c r="K24" s="36">
        <f>COUNTIF(Vertices[Betweenness Centrality], "&gt;= " &amp; J24) - COUNTIF(Vertices[Betweenness Centrality], "&gt;=" &amp; J25)</f>
        <v>0</v>
      </c>
      <c r="L24" s="35">
        <f t="shared" si="5"/>
        <v>0</v>
      </c>
      <c r="M24" s="36">
        <f>COUNTIF(Vertices[Closeness Centrality], "&gt;= " &amp; L24) - COUNTIF(Vertices[Closeness Centrality], "&gt;=" &amp; L25)</f>
        <v>0</v>
      </c>
      <c r="N24" s="35">
        <f t="shared" si="6"/>
        <v>0</v>
      </c>
      <c r="O24" s="36">
        <f>COUNTIF(Vertices[Eigenvector Centrality], "&gt;= " &amp; N24) - COUNTIF(Vertices[Eigenvector Centrality], "&gt;=" &amp; N25)</f>
        <v>0</v>
      </c>
      <c r="P24" s="35">
        <f t="shared" si="7"/>
        <v>0</v>
      </c>
      <c r="Q24" s="36">
        <f>COUNTIF(Vertices[PageRank], "&gt;= " &amp; P24) - COUNTIF(Vertices[PageRank], "&gt;=" &amp; P25)</f>
        <v>0</v>
      </c>
      <c r="R24" s="35">
        <f t="shared" si="8"/>
        <v>0</v>
      </c>
      <c r="S24" s="41">
        <f>COUNTIF(Vertices[Clustering Coefficient], "&gt;= " &amp; R24) - COUNTIF(Vertices[Clustering Coefficient], "&gt;=" &amp; R25)</f>
        <v>0</v>
      </c>
      <c r="T24" s="35">
        <f t="shared" ca="1" si="9"/>
        <v>6414.0343879250959</v>
      </c>
      <c r="U24" s="36">
        <f t="shared" ca="1" si="0"/>
        <v>0</v>
      </c>
    </row>
    <row r="25" spans="1:21" x14ac:dyDescent="0.35">
      <c r="A25" s="32"/>
      <c r="B25" s="32"/>
      <c r="D25" s="30">
        <f t="shared" si="1"/>
        <v>0</v>
      </c>
      <c r="E25">
        <f>COUNTIF(Vertices[Degree], "&gt;= " &amp; D25) - COUNTIF(Vertices[Degree], "&gt;=" &amp; D26)</f>
        <v>0</v>
      </c>
      <c r="F25" s="37">
        <f t="shared" si="2"/>
        <v>0</v>
      </c>
      <c r="G25" s="38">
        <f>COUNTIF(Vertices[In-Degree], "&gt;= " &amp; F25) - COUNTIF(Vertices[In-Degree], "&gt;=" &amp; F26)</f>
        <v>0</v>
      </c>
      <c r="H25" s="37">
        <f t="shared" si="3"/>
        <v>0</v>
      </c>
      <c r="I25" s="38">
        <f>COUNTIF(Vertices[Out-Degree], "&gt;= " &amp; H25) - COUNTIF(Vertices[Out-Degree], "&gt;=" &amp; H26)</f>
        <v>0</v>
      </c>
      <c r="J25" s="37">
        <f t="shared" si="4"/>
        <v>0</v>
      </c>
      <c r="K25" s="38">
        <f>COUNTIF(Vertices[Betweenness Centrality], "&gt;= " &amp; J25) - COUNTIF(Vertices[Betweenness Centrality], "&gt;=" &amp; J26)</f>
        <v>0</v>
      </c>
      <c r="L25" s="37">
        <f t="shared" si="5"/>
        <v>0</v>
      </c>
      <c r="M25" s="38">
        <f>COUNTIF(Vertices[Closeness Centrality], "&gt;= " &amp; L25) - COUNTIF(Vertices[Closeness Centrality], "&gt;=" &amp; L26)</f>
        <v>0</v>
      </c>
      <c r="N25" s="37">
        <f t="shared" si="6"/>
        <v>0</v>
      </c>
      <c r="O25" s="38">
        <f>COUNTIF(Vertices[Eigenvector Centrality], "&gt;= " &amp; N25) - COUNTIF(Vertices[Eigenvector Centrality], "&gt;=" &amp; N26)</f>
        <v>0</v>
      </c>
      <c r="P25" s="37">
        <f t="shared" si="7"/>
        <v>0</v>
      </c>
      <c r="Q25" s="38">
        <f>COUNTIF(Vertices[PageRank], "&gt;= " &amp; P25) - COUNTIF(Vertices[PageRank], "&gt;=" &amp; P26)</f>
        <v>0</v>
      </c>
      <c r="R25" s="37">
        <f t="shared" si="8"/>
        <v>0</v>
      </c>
      <c r="S25" s="42">
        <f>COUNTIF(Vertices[Clustering Coefficient], "&gt;= " &amp; R25) - COUNTIF(Vertices[Clustering Coefficient], "&gt;=" &amp; R26)</f>
        <v>0</v>
      </c>
      <c r="T25" s="37">
        <f t="shared" ca="1" si="9"/>
        <v>6667.8353145823803</v>
      </c>
      <c r="U25" s="38">
        <f t="shared" ca="1" si="0"/>
        <v>0</v>
      </c>
    </row>
    <row r="26" spans="1:21" x14ac:dyDescent="0.35">
      <c r="A26" s="32"/>
      <c r="B26" s="32"/>
      <c r="D26" s="30">
        <f t="shared" si="1"/>
        <v>0</v>
      </c>
      <c r="E26">
        <f>COUNTIF(Vertices[Degree], "&gt;= " &amp; D26) - COUNTIF(Vertices[Degree], "&gt;=" &amp; D27)</f>
        <v>0</v>
      </c>
      <c r="F26" s="35">
        <f t="shared" si="2"/>
        <v>0</v>
      </c>
      <c r="G26" s="36">
        <f>COUNTIF(Vertices[In-Degree], "&gt;= " &amp; F26) - COUNTIF(Vertices[In-Degree], "&gt;=" &amp; F27)</f>
        <v>0</v>
      </c>
      <c r="H26" s="35">
        <f t="shared" si="3"/>
        <v>0</v>
      </c>
      <c r="I26" s="36">
        <f>COUNTIF(Vertices[Out-Degree], "&gt;= " &amp; H26) - COUNTIF(Vertices[Out-Degree], "&gt;=" &amp; H27)</f>
        <v>0</v>
      </c>
      <c r="J26" s="35">
        <f t="shared" si="4"/>
        <v>0</v>
      </c>
      <c r="K26" s="36">
        <f>COUNTIF(Vertices[Betweenness Centrality], "&gt;= " &amp; J26) - COUNTIF(Vertices[Betweenness Centrality], "&gt;=" &amp; J27)</f>
        <v>0</v>
      </c>
      <c r="L26" s="35">
        <f t="shared" si="5"/>
        <v>0</v>
      </c>
      <c r="M26" s="36">
        <f>COUNTIF(Vertices[Closeness Centrality], "&gt;= " &amp; L26) - COUNTIF(Vertices[Closeness Centrality], "&gt;=" &amp; L27)</f>
        <v>0</v>
      </c>
      <c r="N26" s="35">
        <f t="shared" si="6"/>
        <v>0</v>
      </c>
      <c r="O26" s="36">
        <f>COUNTIF(Vertices[Eigenvector Centrality], "&gt;= " &amp; N26) - COUNTIF(Vertices[Eigenvector Centrality], "&gt;=" &amp; N27)</f>
        <v>0</v>
      </c>
      <c r="P26" s="35">
        <f t="shared" si="7"/>
        <v>0</v>
      </c>
      <c r="Q26" s="36">
        <f>COUNTIF(Vertices[PageRank], "&gt;= " &amp; P26) - COUNTIF(Vertices[PageRank], "&gt;=" &amp; P27)</f>
        <v>0</v>
      </c>
      <c r="R26" s="35">
        <f t="shared" si="8"/>
        <v>0</v>
      </c>
      <c r="S26" s="41">
        <f>COUNTIF(Vertices[Clustering Coefficient], "&gt;= " &amp; R26) - COUNTIF(Vertices[Clustering Coefficient], "&gt;=" &amp; R27)</f>
        <v>0</v>
      </c>
      <c r="T26" s="35">
        <f t="shared" ca="1" si="9"/>
        <v>6921.6362412396647</v>
      </c>
      <c r="U26" s="36">
        <f t="shared" ref="U26:U35" ca="1" si="10">COUNTIF(INDIRECT(DynamicFilterSourceColumnRange), "&gt;= " &amp; T26) - COUNTIF(INDIRECT(DynamicFilterSourceColumnRange), "&gt;=" &amp; T27)</f>
        <v>1</v>
      </c>
    </row>
    <row r="27" spans="1:21" x14ac:dyDescent="0.35">
      <c r="A27" s="76"/>
      <c r="B27" s="76"/>
      <c r="D27" s="30">
        <f t="shared" si="1"/>
        <v>0</v>
      </c>
      <c r="E27">
        <f>COUNTIF(Vertices[Degree], "&gt;= " &amp; D27) - COUNTIF(Vertices[Degree], "&gt;=" &amp; D28)</f>
        <v>0</v>
      </c>
      <c r="F27" s="37">
        <f t="shared" si="2"/>
        <v>0</v>
      </c>
      <c r="G27" s="38">
        <f>COUNTIF(Vertices[In-Degree], "&gt;= " &amp; F27) - COUNTIF(Vertices[In-Degree], "&gt;=" &amp; F28)</f>
        <v>0</v>
      </c>
      <c r="H27" s="37">
        <f t="shared" si="3"/>
        <v>0</v>
      </c>
      <c r="I27" s="38">
        <f>COUNTIF(Vertices[Out-Degree], "&gt;= " &amp; H27) - COUNTIF(Vertices[Out-Degree], "&gt;=" &amp; H28)</f>
        <v>0</v>
      </c>
      <c r="J27" s="37">
        <f t="shared" si="4"/>
        <v>0</v>
      </c>
      <c r="K27" s="38">
        <f>COUNTIF(Vertices[Betweenness Centrality], "&gt;= " &amp; J27) - COUNTIF(Vertices[Betweenness Centrality], "&gt;=" &amp; J28)</f>
        <v>0</v>
      </c>
      <c r="L27" s="37">
        <f t="shared" si="5"/>
        <v>0</v>
      </c>
      <c r="M27" s="38">
        <f>COUNTIF(Vertices[Closeness Centrality], "&gt;= " &amp; L27) - COUNTIF(Vertices[Closeness Centrality], "&gt;=" &amp; L28)</f>
        <v>0</v>
      </c>
      <c r="N27" s="37">
        <f t="shared" si="6"/>
        <v>0</v>
      </c>
      <c r="O27" s="38">
        <f>COUNTIF(Vertices[Eigenvector Centrality], "&gt;= " &amp; N27) - COUNTIF(Vertices[Eigenvector Centrality], "&gt;=" &amp; N28)</f>
        <v>0</v>
      </c>
      <c r="P27" s="37">
        <f t="shared" si="7"/>
        <v>0</v>
      </c>
      <c r="Q27" s="38">
        <f>COUNTIF(Vertices[PageRank], "&gt;= " &amp; P27) - COUNTIF(Vertices[PageRank], "&gt;=" &amp; P28)</f>
        <v>0</v>
      </c>
      <c r="R27" s="37">
        <f t="shared" si="8"/>
        <v>0</v>
      </c>
      <c r="S27" s="42">
        <f>COUNTIF(Vertices[Clustering Coefficient], "&gt;= " &amp; R27) - COUNTIF(Vertices[Clustering Coefficient], "&gt;=" &amp; R28)</f>
        <v>0</v>
      </c>
      <c r="T27" s="37">
        <f t="shared" ca="1" si="9"/>
        <v>7175.4371678969492</v>
      </c>
      <c r="U27" s="38">
        <f t="shared" ca="1" si="10"/>
        <v>1</v>
      </c>
    </row>
    <row r="28" spans="1:21" x14ac:dyDescent="0.35">
      <c r="A28" s="32"/>
      <c r="B28" s="32"/>
      <c r="D28" s="30">
        <f t="shared" si="1"/>
        <v>0</v>
      </c>
      <c r="E28">
        <f>COUNTIF(Vertices[Degree], "&gt;= " &amp; D28) - COUNTIF(Vertices[Degree], "&gt;=" &amp; D29)</f>
        <v>0</v>
      </c>
      <c r="F28" s="35">
        <f t="shared" si="2"/>
        <v>0</v>
      </c>
      <c r="G28" s="36">
        <f>COUNTIF(Vertices[In-Degree], "&gt;= " &amp; F28) - COUNTIF(Vertices[In-Degree], "&gt;=" &amp; F29)</f>
        <v>0</v>
      </c>
      <c r="H28" s="35">
        <f t="shared" si="3"/>
        <v>0</v>
      </c>
      <c r="I28" s="36">
        <f>COUNTIF(Vertices[Out-Degree], "&gt;= " &amp; H28) - COUNTIF(Vertices[Out-Degree], "&gt;=" &amp; H29)</f>
        <v>0</v>
      </c>
      <c r="J28" s="35">
        <f t="shared" si="4"/>
        <v>0</v>
      </c>
      <c r="K28" s="36">
        <f>COUNTIF(Vertices[Betweenness Centrality], "&gt;= " &amp; J28) - COUNTIF(Vertices[Betweenness Centrality], "&gt;=" &amp; J29)</f>
        <v>0</v>
      </c>
      <c r="L28" s="35">
        <f t="shared" si="5"/>
        <v>0</v>
      </c>
      <c r="M28" s="36">
        <f>COUNTIF(Vertices[Closeness Centrality], "&gt;= " &amp; L28) - COUNTIF(Vertices[Closeness Centrality], "&gt;=" &amp; L29)</f>
        <v>0</v>
      </c>
      <c r="N28" s="35">
        <f t="shared" si="6"/>
        <v>0</v>
      </c>
      <c r="O28" s="36">
        <f>COUNTIF(Vertices[Eigenvector Centrality], "&gt;= " &amp; N28) - COUNTIF(Vertices[Eigenvector Centrality], "&gt;=" &amp; N29)</f>
        <v>0</v>
      </c>
      <c r="P28" s="35">
        <f t="shared" si="7"/>
        <v>0</v>
      </c>
      <c r="Q28" s="36">
        <f>COUNTIF(Vertices[PageRank], "&gt;= " &amp; P28) - COUNTIF(Vertices[PageRank], "&gt;=" &amp; P29)</f>
        <v>0</v>
      </c>
      <c r="R28" s="35">
        <f t="shared" si="8"/>
        <v>0</v>
      </c>
      <c r="S28" s="41">
        <f>COUNTIF(Vertices[Clustering Coefficient], "&gt;= " &amp; R28) - COUNTIF(Vertices[Clustering Coefficient], "&gt;=" &amp; R29)</f>
        <v>0</v>
      </c>
      <c r="T28" s="35">
        <f t="shared" ca="1" si="9"/>
        <v>7429.2380945542336</v>
      </c>
      <c r="U28" s="36">
        <f t="shared" ca="1" si="10"/>
        <v>0</v>
      </c>
    </row>
    <row r="29" spans="1:21" x14ac:dyDescent="0.35">
      <c r="A29" s="32"/>
      <c r="B29" s="32"/>
      <c r="D29" s="30">
        <f t="shared" si="1"/>
        <v>0</v>
      </c>
      <c r="E29">
        <f>COUNTIF(Vertices[Degree], "&gt;= " &amp; D29) - COUNTIF(Vertices[Degree], "&gt;=" &amp; D30)</f>
        <v>0</v>
      </c>
      <c r="F29" s="37">
        <f t="shared" si="2"/>
        <v>0</v>
      </c>
      <c r="G29" s="38">
        <f>COUNTIF(Vertices[In-Degree], "&gt;= " &amp; F29) - COUNTIF(Vertices[In-Degree], "&gt;=" &amp; F30)</f>
        <v>0</v>
      </c>
      <c r="H29" s="37">
        <f t="shared" si="3"/>
        <v>0</v>
      </c>
      <c r="I29" s="38">
        <f>COUNTIF(Vertices[Out-Degree], "&gt;= " &amp; H29) - COUNTIF(Vertices[Out-Degree], "&gt;=" &amp; H30)</f>
        <v>0</v>
      </c>
      <c r="J29" s="37">
        <f t="shared" si="4"/>
        <v>0</v>
      </c>
      <c r="K29" s="38">
        <f>COUNTIF(Vertices[Betweenness Centrality], "&gt;= " &amp; J29) - COUNTIF(Vertices[Betweenness Centrality], "&gt;=" &amp; J30)</f>
        <v>0</v>
      </c>
      <c r="L29" s="37">
        <f t="shared" si="5"/>
        <v>0</v>
      </c>
      <c r="M29" s="38">
        <f>COUNTIF(Vertices[Closeness Centrality], "&gt;= " &amp; L29) - COUNTIF(Vertices[Closeness Centrality], "&gt;=" &amp; L30)</f>
        <v>0</v>
      </c>
      <c r="N29" s="37">
        <f t="shared" si="6"/>
        <v>0</v>
      </c>
      <c r="O29" s="38">
        <f>COUNTIF(Vertices[Eigenvector Centrality], "&gt;= " &amp; N29) - COUNTIF(Vertices[Eigenvector Centrality], "&gt;=" &amp; N30)</f>
        <v>0</v>
      </c>
      <c r="P29" s="37">
        <f t="shared" si="7"/>
        <v>0</v>
      </c>
      <c r="Q29" s="38">
        <f>COUNTIF(Vertices[PageRank], "&gt;= " &amp; P29) - COUNTIF(Vertices[PageRank], "&gt;=" &amp; P30)</f>
        <v>0</v>
      </c>
      <c r="R29" s="37">
        <f t="shared" si="8"/>
        <v>0</v>
      </c>
      <c r="S29" s="42">
        <f>COUNTIF(Vertices[Clustering Coefficient], "&gt;= " &amp; R29) - COUNTIF(Vertices[Clustering Coefficient], "&gt;=" &amp; R30)</f>
        <v>0</v>
      </c>
      <c r="T29" s="37">
        <f t="shared" ca="1" si="9"/>
        <v>7683.039021211518</v>
      </c>
      <c r="U29" s="38">
        <f t="shared" ca="1" si="10"/>
        <v>0</v>
      </c>
    </row>
    <row r="30" spans="1:21" x14ac:dyDescent="0.35">
      <c r="A30" s="32"/>
      <c r="B30" s="32"/>
      <c r="D30" s="30">
        <f t="shared" si="1"/>
        <v>0</v>
      </c>
      <c r="E30">
        <f>COUNTIF(Vertices[Degree], "&gt;= " &amp; D30) - COUNTIF(Vertices[Degree], "&gt;=" &amp; D31)</f>
        <v>0</v>
      </c>
      <c r="F30" s="35">
        <f t="shared" si="2"/>
        <v>0</v>
      </c>
      <c r="G30" s="36">
        <f>COUNTIF(Vertices[In-Degree], "&gt;= " &amp; F30) - COUNTIF(Vertices[In-Degree], "&gt;=" &amp; F31)</f>
        <v>0</v>
      </c>
      <c r="H30" s="35">
        <f t="shared" si="3"/>
        <v>0</v>
      </c>
      <c r="I30" s="36">
        <f>COUNTIF(Vertices[Out-Degree], "&gt;= " &amp; H30) - COUNTIF(Vertices[Out-Degree], "&gt;=" &amp; H31)</f>
        <v>0</v>
      </c>
      <c r="J30" s="35">
        <f t="shared" si="4"/>
        <v>0</v>
      </c>
      <c r="K30" s="36">
        <f>COUNTIF(Vertices[Betweenness Centrality], "&gt;= " &amp; J30) - COUNTIF(Vertices[Betweenness Centrality], "&gt;=" &amp; J31)</f>
        <v>0</v>
      </c>
      <c r="L30" s="35">
        <f t="shared" si="5"/>
        <v>0</v>
      </c>
      <c r="M30" s="36">
        <f>COUNTIF(Vertices[Closeness Centrality], "&gt;= " &amp; L30) - COUNTIF(Vertices[Closeness Centrality], "&gt;=" &amp; L31)</f>
        <v>0</v>
      </c>
      <c r="N30" s="35">
        <f t="shared" si="6"/>
        <v>0</v>
      </c>
      <c r="O30" s="36">
        <f>COUNTIF(Vertices[Eigenvector Centrality], "&gt;= " &amp; N30) - COUNTIF(Vertices[Eigenvector Centrality], "&gt;=" &amp; N31)</f>
        <v>0</v>
      </c>
      <c r="P30" s="35">
        <f t="shared" si="7"/>
        <v>0</v>
      </c>
      <c r="Q30" s="36">
        <f>COUNTIF(Vertices[PageRank], "&gt;= " &amp; P30) - COUNTIF(Vertices[PageRank], "&gt;=" &amp; P31)</f>
        <v>0</v>
      </c>
      <c r="R30" s="35">
        <f t="shared" si="8"/>
        <v>0</v>
      </c>
      <c r="S30" s="41">
        <f>COUNTIF(Vertices[Clustering Coefficient], "&gt;= " &amp; R30) - COUNTIF(Vertices[Clustering Coefficient], "&gt;=" &amp; R31)</f>
        <v>0</v>
      </c>
      <c r="T30" s="35">
        <f t="shared" ca="1" si="9"/>
        <v>7936.8399478688025</v>
      </c>
      <c r="U30" s="36">
        <f t="shared" ca="1" si="10"/>
        <v>0</v>
      </c>
    </row>
    <row r="31" spans="1:21" x14ac:dyDescent="0.35">
      <c r="A31" s="32"/>
      <c r="B31" s="32"/>
      <c r="D31" s="30">
        <f t="shared" si="1"/>
        <v>0</v>
      </c>
      <c r="E31">
        <f>COUNTIF(Vertices[Degree], "&gt;= " &amp; D31) - COUNTIF(Vertices[Degree], "&gt;=" &amp; D32)</f>
        <v>0</v>
      </c>
      <c r="F31" s="37">
        <f t="shared" si="2"/>
        <v>0</v>
      </c>
      <c r="G31" s="38">
        <f>COUNTIF(Vertices[In-Degree], "&gt;= " &amp; F31) - COUNTIF(Vertices[In-Degree], "&gt;=" &amp; F32)</f>
        <v>0</v>
      </c>
      <c r="H31" s="37">
        <f t="shared" si="3"/>
        <v>0</v>
      </c>
      <c r="I31" s="38">
        <f>COUNTIF(Vertices[Out-Degree], "&gt;= " &amp; H31) - COUNTIF(Vertices[Out-Degree], "&gt;=" &amp; H32)</f>
        <v>0</v>
      </c>
      <c r="J31" s="37">
        <f t="shared" si="4"/>
        <v>0</v>
      </c>
      <c r="K31" s="38">
        <f>COUNTIF(Vertices[Betweenness Centrality], "&gt;= " &amp; J31) - COUNTIF(Vertices[Betweenness Centrality], "&gt;=" &amp; J32)</f>
        <v>0</v>
      </c>
      <c r="L31" s="37">
        <f t="shared" si="5"/>
        <v>0</v>
      </c>
      <c r="M31" s="38">
        <f>COUNTIF(Vertices[Closeness Centrality], "&gt;= " &amp; L31) - COUNTIF(Vertices[Closeness Centrality], "&gt;=" &amp; L32)</f>
        <v>0</v>
      </c>
      <c r="N31" s="37">
        <f t="shared" si="6"/>
        <v>0</v>
      </c>
      <c r="O31" s="38">
        <f>COUNTIF(Vertices[Eigenvector Centrality], "&gt;= " &amp; N31) - COUNTIF(Vertices[Eigenvector Centrality], "&gt;=" &amp; N32)</f>
        <v>0</v>
      </c>
      <c r="P31" s="37">
        <f t="shared" si="7"/>
        <v>0</v>
      </c>
      <c r="Q31" s="38">
        <f>COUNTIF(Vertices[PageRank], "&gt;= " &amp; P31) - COUNTIF(Vertices[PageRank], "&gt;=" &amp; P32)</f>
        <v>0</v>
      </c>
      <c r="R31" s="37">
        <f t="shared" si="8"/>
        <v>0</v>
      </c>
      <c r="S31" s="42">
        <f>COUNTIF(Vertices[Clustering Coefficient], "&gt;= " &amp; R31) - COUNTIF(Vertices[Clustering Coefficient], "&gt;=" &amp; R32)</f>
        <v>0</v>
      </c>
      <c r="T31" s="37">
        <f t="shared" ca="1" si="9"/>
        <v>8190.6408745260869</v>
      </c>
      <c r="U31" s="38">
        <f t="shared" ca="1" si="10"/>
        <v>0</v>
      </c>
    </row>
    <row r="32" spans="1:21" x14ac:dyDescent="0.35">
      <c r="A32" s="32"/>
      <c r="B32" s="32"/>
      <c r="D32" s="30">
        <f t="shared" si="1"/>
        <v>0</v>
      </c>
      <c r="E32">
        <f>COUNTIF(Vertices[Degree], "&gt;= " &amp; D32) - COUNTIF(Vertices[Degree], "&gt;=" &amp; D33)</f>
        <v>0</v>
      </c>
      <c r="F32" s="35">
        <f t="shared" si="2"/>
        <v>0</v>
      </c>
      <c r="G32" s="36">
        <f>COUNTIF(Vertices[In-Degree], "&gt;= " &amp; F32) - COUNTIF(Vertices[In-Degree], "&gt;=" &amp; F33)</f>
        <v>0</v>
      </c>
      <c r="H32" s="35">
        <f t="shared" si="3"/>
        <v>0</v>
      </c>
      <c r="I32" s="36">
        <f>COUNTIF(Vertices[Out-Degree], "&gt;= " &amp; H32) - COUNTIF(Vertices[Out-Degree], "&gt;=" &amp; H33)</f>
        <v>0</v>
      </c>
      <c r="J32" s="35">
        <f t="shared" si="4"/>
        <v>0</v>
      </c>
      <c r="K32" s="36">
        <f>COUNTIF(Vertices[Betweenness Centrality], "&gt;= " &amp; J32) - COUNTIF(Vertices[Betweenness Centrality], "&gt;=" &amp; J33)</f>
        <v>0</v>
      </c>
      <c r="L32" s="35">
        <f t="shared" si="5"/>
        <v>0</v>
      </c>
      <c r="M32" s="36">
        <f>COUNTIF(Vertices[Closeness Centrality], "&gt;= " &amp; L32) - COUNTIF(Vertices[Closeness Centrality], "&gt;=" &amp; L33)</f>
        <v>0</v>
      </c>
      <c r="N32" s="35">
        <f t="shared" si="6"/>
        <v>0</v>
      </c>
      <c r="O32" s="36">
        <f>COUNTIF(Vertices[Eigenvector Centrality], "&gt;= " &amp; N32) - COUNTIF(Vertices[Eigenvector Centrality], "&gt;=" &amp; N33)</f>
        <v>0</v>
      </c>
      <c r="P32" s="35">
        <f t="shared" si="7"/>
        <v>0</v>
      </c>
      <c r="Q32" s="36">
        <f>COUNTIF(Vertices[PageRank], "&gt;= " &amp; P32) - COUNTIF(Vertices[PageRank], "&gt;=" &amp; P33)</f>
        <v>0</v>
      </c>
      <c r="R32" s="35">
        <f t="shared" si="8"/>
        <v>0</v>
      </c>
      <c r="S32" s="41">
        <f>COUNTIF(Vertices[Clustering Coefficient], "&gt;= " &amp; R32) - COUNTIF(Vertices[Clustering Coefficient], "&gt;=" &amp; R33)</f>
        <v>0</v>
      </c>
      <c r="T32" s="35">
        <f t="shared" ca="1" si="9"/>
        <v>8444.4418011833714</v>
      </c>
      <c r="U32" s="36">
        <f t="shared" ca="1" si="10"/>
        <v>0</v>
      </c>
    </row>
    <row r="33" spans="1:21" x14ac:dyDescent="0.35">
      <c r="A33" s="76"/>
      <c r="B33" s="76"/>
      <c r="D33" s="30">
        <f t="shared" si="1"/>
        <v>0</v>
      </c>
      <c r="E33">
        <f>COUNTIF(Vertices[Degree], "&gt;= " &amp; D33) - COUNTIF(Vertices[Degree], "&gt;=" &amp; D34)</f>
        <v>0</v>
      </c>
      <c r="F33" s="37">
        <f t="shared" si="2"/>
        <v>0</v>
      </c>
      <c r="G33" s="38">
        <f>COUNTIF(Vertices[In-Degree], "&gt;= " &amp; F33) - COUNTIF(Vertices[In-Degree], "&gt;=" &amp; F34)</f>
        <v>0</v>
      </c>
      <c r="H33" s="37">
        <f t="shared" si="3"/>
        <v>0</v>
      </c>
      <c r="I33" s="38">
        <f>COUNTIF(Vertices[Out-Degree], "&gt;= " &amp; H33) - COUNTIF(Vertices[Out-Degree], "&gt;=" &amp; H34)</f>
        <v>0</v>
      </c>
      <c r="J33" s="37">
        <f t="shared" si="4"/>
        <v>0</v>
      </c>
      <c r="K33" s="38">
        <f>COUNTIF(Vertices[Betweenness Centrality], "&gt;= " &amp; J33) - COUNTIF(Vertices[Betweenness Centrality], "&gt;=" &amp; J34)</f>
        <v>0</v>
      </c>
      <c r="L33" s="37">
        <f t="shared" si="5"/>
        <v>0</v>
      </c>
      <c r="M33" s="38">
        <f>COUNTIF(Vertices[Closeness Centrality], "&gt;= " &amp; L33) - COUNTIF(Vertices[Closeness Centrality], "&gt;=" &amp; L34)</f>
        <v>0</v>
      </c>
      <c r="N33" s="37">
        <f t="shared" si="6"/>
        <v>0</v>
      </c>
      <c r="O33" s="38">
        <f>COUNTIF(Vertices[Eigenvector Centrality], "&gt;= " &amp; N33) - COUNTIF(Vertices[Eigenvector Centrality], "&gt;=" &amp; N34)</f>
        <v>0</v>
      </c>
      <c r="P33" s="37">
        <f t="shared" si="7"/>
        <v>0</v>
      </c>
      <c r="Q33" s="38">
        <f>COUNTIF(Vertices[PageRank], "&gt;= " &amp; P33) - COUNTIF(Vertices[PageRank], "&gt;=" &amp; P34)</f>
        <v>0</v>
      </c>
      <c r="R33" s="37">
        <f t="shared" si="8"/>
        <v>0</v>
      </c>
      <c r="S33" s="42">
        <f>COUNTIF(Vertices[Clustering Coefficient], "&gt;= " &amp; R33) - COUNTIF(Vertices[Clustering Coefficient], "&gt;=" &amp; R34)</f>
        <v>0</v>
      </c>
      <c r="T33" s="37">
        <f t="shared" ca="1" si="9"/>
        <v>8698.2427278406558</v>
      </c>
      <c r="U33" s="38">
        <f t="shared" ca="1" si="10"/>
        <v>0</v>
      </c>
    </row>
    <row r="34" spans="1:21" x14ac:dyDescent="0.35">
      <c r="A34" s="32"/>
      <c r="B34" s="32"/>
      <c r="D34" s="30">
        <f t="shared" si="1"/>
        <v>0</v>
      </c>
      <c r="E34">
        <f>COUNTIF(Vertices[Degree], "&gt;= " &amp; D34) - COUNTIF(Vertices[Degree], "&gt;=" &amp; D35)</f>
        <v>0</v>
      </c>
      <c r="F34" s="35">
        <f t="shared" si="2"/>
        <v>0</v>
      </c>
      <c r="G34" s="36">
        <f>COUNTIF(Vertices[In-Degree], "&gt;= " &amp; F34) - COUNTIF(Vertices[In-Degree], "&gt;=" &amp; F35)</f>
        <v>0</v>
      </c>
      <c r="H34" s="35">
        <f t="shared" si="3"/>
        <v>0</v>
      </c>
      <c r="I34" s="36">
        <f>COUNTIF(Vertices[Out-Degree], "&gt;= " &amp; H34) - COUNTIF(Vertices[Out-Degree], "&gt;=" &amp; H35)</f>
        <v>0</v>
      </c>
      <c r="J34" s="35">
        <f t="shared" si="4"/>
        <v>0</v>
      </c>
      <c r="K34" s="36">
        <f>COUNTIF(Vertices[Betweenness Centrality], "&gt;= " &amp; J34) - COUNTIF(Vertices[Betweenness Centrality], "&gt;=" &amp; J35)</f>
        <v>0</v>
      </c>
      <c r="L34" s="35">
        <f t="shared" si="5"/>
        <v>0</v>
      </c>
      <c r="M34" s="36">
        <f>COUNTIF(Vertices[Closeness Centrality], "&gt;= " &amp; L34) - COUNTIF(Vertices[Closeness Centrality], "&gt;=" &amp; L35)</f>
        <v>0</v>
      </c>
      <c r="N34" s="35">
        <f t="shared" si="6"/>
        <v>0</v>
      </c>
      <c r="O34" s="36">
        <f>COUNTIF(Vertices[Eigenvector Centrality], "&gt;= " &amp; N34) - COUNTIF(Vertices[Eigenvector Centrality], "&gt;=" &amp; N35)</f>
        <v>0</v>
      </c>
      <c r="P34" s="35">
        <f t="shared" si="7"/>
        <v>0</v>
      </c>
      <c r="Q34" s="36">
        <f>COUNTIF(Vertices[PageRank], "&gt;= " &amp; P34) - COUNTIF(Vertices[PageRank], "&gt;=" &amp; P35)</f>
        <v>0</v>
      </c>
      <c r="R34" s="35">
        <f t="shared" si="8"/>
        <v>0</v>
      </c>
      <c r="S34" s="41">
        <f>COUNTIF(Vertices[Clustering Coefficient], "&gt;= " &amp; R34) - COUNTIF(Vertices[Clustering Coefficient], "&gt;=" &amp; R35)</f>
        <v>0</v>
      </c>
      <c r="T34" s="35">
        <f t="shared" ca="1" si="9"/>
        <v>8952.0436544979402</v>
      </c>
      <c r="U34" s="36">
        <f t="shared" ca="1" si="10"/>
        <v>0</v>
      </c>
    </row>
    <row r="35" spans="1:21" x14ac:dyDescent="0.35">
      <c r="A35" s="32"/>
      <c r="B35" s="32"/>
      <c r="D35" s="30">
        <f t="shared" si="1"/>
        <v>0</v>
      </c>
      <c r="E35">
        <f>COUNTIF(Vertices[Degree], "&gt;= " &amp; D35) - COUNTIF(Vertices[Degree], "&gt;=" &amp; D36)</f>
        <v>0</v>
      </c>
      <c r="F35" s="37">
        <f t="shared" si="2"/>
        <v>0</v>
      </c>
      <c r="G35" s="38">
        <f>COUNTIF(Vertices[In-Degree], "&gt;= " &amp; F35) - COUNTIF(Vertices[In-Degree], "&gt;=" &amp; F36)</f>
        <v>0</v>
      </c>
      <c r="H35" s="37">
        <f t="shared" si="3"/>
        <v>0</v>
      </c>
      <c r="I35" s="38">
        <f>COUNTIF(Vertices[Out-Degree], "&gt;= " &amp; H35) - COUNTIF(Vertices[Out-Degree], "&gt;=" &amp; H36)</f>
        <v>0</v>
      </c>
      <c r="J35" s="37">
        <f t="shared" si="4"/>
        <v>0</v>
      </c>
      <c r="K35" s="38">
        <f>COUNTIF(Vertices[Betweenness Centrality], "&gt;= " &amp; J35) - COUNTIF(Vertices[Betweenness Centrality], "&gt;=" &amp; J36)</f>
        <v>0</v>
      </c>
      <c r="L35" s="37">
        <f t="shared" si="5"/>
        <v>0</v>
      </c>
      <c r="M35" s="38">
        <f>COUNTIF(Vertices[Closeness Centrality], "&gt;= " &amp; L35) - COUNTIF(Vertices[Closeness Centrality], "&gt;=" &amp; L36)</f>
        <v>0</v>
      </c>
      <c r="N35" s="37">
        <f t="shared" si="6"/>
        <v>0</v>
      </c>
      <c r="O35" s="38">
        <f>COUNTIF(Vertices[Eigenvector Centrality], "&gt;= " &amp; N35) - COUNTIF(Vertices[Eigenvector Centrality], "&gt;=" &amp; N36)</f>
        <v>0</v>
      </c>
      <c r="P35" s="37">
        <f t="shared" si="7"/>
        <v>0</v>
      </c>
      <c r="Q35" s="38">
        <f>COUNTIF(Vertices[PageRank], "&gt;= " &amp; P35) - COUNTIF(Vertices[PageRank], "&gt;=" &amp; P36)</f>
        <v>0</v>
      </c>
      <c r="R35" s="37">
        <f t="shared" si="8"/>
        <v>0</v>
      </c>
      <c r="S35" s="42">
        <f>COUNTIF(Vertices[Clustering Coefficient], "&gt;= " &amp; R35) - COUNTIF(Vertices[Clustering Coefficient], "&gt;=" &amp; R36)</f>
        <v>0</v>
      </c>
      <c r="T35" s="37">
        <f t="shared" ca="1" si="9"/>
        <v>9205.8445811552247</v>
      </c>
      <c r="U35" s="38">
        <f t="shared" ca="1" si="10"/>
        <v>0</v>
      </c>
    </row>
    <row r="36" spans="1:21" x14ac:dyDescent="0.35">
      <c r="A36" s="32"/>
      <c r="B36" s="32"/>
      <c r="D36" s="30">
        <f>MAX(Vertices[Degree])</f>
        <v>0</v>
      </c>
      <c r="E36">
        <f>COUNTIF(Vertices[Degree], "&gt;= " &amp; D36) - COUNTIF(Vertices[Degree], "&gt;=" &amp;#REF!)</f>
        <v>0</v>
      </c>
      <c r="F36" s="39">
        <f>MAX(Vertices[In-Degree])</f>
        <v>0</v>
      </c>
      <c r="G36" s="40">
        <f>COUNTIF(Vertices[In-Degree], "&gt;= " &amp; F36) - COUNTIF(Vertices[In-Degree], "&gt;=" &amp;#REF!)</f>
        <v>0</v>
      </c>
      <c r="H36" s="39">
        <f>MAX(Vertices[Out-Degree])</f>
        <v>0</v>
      </c>
      <c r="I36" s="40">
        <f>COUNTIF(Vertices[Out-Degree], "&gt;= " &amp; H36) - COUNTIF(Vertices[Out-Degree], "&gt;=" &amp;#REF!)</f>
        <v>0</v>
      </c>
      <c r="J36" s="39">
        <f>MAX(Vertices[Betweenness Centrality])</f>
        <v>0</v>
      </c>
      <c r="K36" s="40">
        <f>COUNTIF(Vertices[Betweenness Centrality], "&gt;= " &amp; J36) - COUNTIF(Vertices[Betweenness Centrality], "&gt;=" &amp;#REF!)</f>
        <v>0</v>
      </c>
      <c r="L36" s="39">
        <f>MAX(Vertices[Closeness Centrality])</f>
        <v>0</v>
      </c>
      <c r="M36" s="40">
        <f>COUNTIF(Vertices[Closeness Centrality], "&gt;= " &amp; L36) - COUNTIF(Vertices[Closeness Centrality], "&gt;=" &amp;#REF!)</f>
        <v>0</v>
      </c>
      <c r="N36" s="39">
        <f>MAX(Vertices[Eigenvector Centrality])</f>
        <v>0</v>
      </c>
      <c r="O36" s="40">
        <f>COUNTIF(Vertices[Eigenvector Centrality], "&gt;= " &amp; N36) - COUNTIF(Vertices[Eigenvector Centrality], "&gt;=" &amp;#REF!)</f>
        <v>0</v>
      </c>
      <c r="P36" s="39">
        <f>MAX(Vertices[PageRank])</f>
        <v>0</v>
      </c>
      <c r="Q36" s="40">
        <f>COUNTIF(Vertices[PageRank], "&gt;= " &amp; P36) - COUNTIF(Vertices[PageRank], "&gt;=" &amp;#REF!)</f>
        <v>0</v>
      </c>
      <c r="R36" s="39">
        <f>MAX(Vertices[Clustering Coefficient])</f>
        <v>0</v>
      </c>
      <c r="S36" s="43">
        <f>COUNTIF(Vertices[Clustering Coefficient], "&gt;= " &amp; R36) - COUNTIF(Vertices[Clustering Coefficient], "&gt;=" &amp;#REF!)</f>
        <v>0</v>
      </c>
      <c r="T36" s="39">
        <f ca="1">MAX(INDIRECT(DynamicFilterSourceColumnRange))</f>
        <v>9459.6455078125</v>
      </c>
      <c r="U36" s="40">
        <f ca="1">COUNTIF(INDIRECT(DynamicFilterSourceColumnRange), "&gt;= " &amp; T36) - COUNTIF(INDIRECT(DynamicFilterSourceColumnRange), "&gt;=" &amp;#REF!)</f>
        <v>1</v>
      </c>
    </row>
    <row r="37" spans="1:21" x14ac:dyDescent="0.35">
      <c r="A37" s="76"/>
      <c r="B37" s="76"/>
    </row>
    <row r="38" spans="1:21" x14ac:dyDescent="0.35">
      <c r="A38" s="76"/>
      <c r="B38" s="76"/>
    </row>
    <row r="39" spans="1:21" x14ac:dyDescent="0.35">
      <c r="A39" s="76"/>
      <c r="B39" s="76"/>
    </row>
    <row r="40" spans="1:21" x14ac:dyDescent="0.35">
      <c r="A40" s="76"/>
      <c r="B40" s="76"/>
    </row>
    <row r="41" spans="1:21" x14ac:dyDescent="0.35">
      <c r="A41" s="76"/>
      <c r="B41" s="76"/>
    </row>
    <row r="42" spans="1:21" x14ac:dyDescent="0.35">
      <c r="A42" s="32"/>
      <c r="B42" s="32"/>
    </row>
    <row r="43" spans="1:21" x14ac:dyDescent="0.35">
      <c r="A43" s="32"/>
      <c r="B43" s="32"/>
    </row>
    <row r="44" spans="1:21" x14ac:dyDescent="0.35">
      <c r="A44" s="32"/>
      <c r="B44" s="32"/>
    </row>
    <row r="45" spans="1:21" x14ac:dyDescent="0.35">
      <c r="A45" s="32"/>
      <c r="B45" s="32"/>
    </row>
    <row r="46" spans="1:21" x14ac:dyDescent="0.35">
      <c r="A46" s="32"/>
      <c r="B46" s="32"/>
    </row>
    <row r="47" spans="1:21" x14ac:dyDescent="0.35">
      <c r="A47" s="32"/>
      <c r="B47" s="32"/>
    </row>
    <row r="48" spans="1:21" x14ac:dyDescent="0.35">
      <c r="A48" s="32"/>
      <c r="B48" s="32"/>
    </row>
    <row r="49" spans="1:2" x14ac:dyDescent="0.35">
      <c r="A49" s="32"/>
      <c r="B49" s="32"/>
    </row>
    <row r="50" spans="1:2" x14ac:dyDescent="0.35">
      <c r="A50" s="76"/>
      <c r="B50" s="76"/>
    </row>
    <row r="51" spans="1:2" x14ac:dyDescent="0.35">
      <c r="A51" s="76"/>
      <c r="B51" s="76"/>
    </row>
    <row r="52" spans="1:2" x14ac:dyDescent="0.35">
      <c r="A52" s="32"/>
      <c r="B52" s="32"/>
    </row>
    <row r="53" spans="1:2" x14ac:dyDescent="0.35">
      <c r="A53" s="76"/>
      <c r="B53" s="76"/>
    </row>
    <row r="54" spans="1:2" x14ac:dyDescent="0.35">
      <c r="A54" s="32"/>
      <c r="B54" s="32"/>
    </row>
    <row r="55" spans="1:2" x14ac:dyDescent="0.35">
      <c r="A55" s="32"/>
      <c r="B55" s="32"/>
    </row>
    <row r="56" spans="1:2" x14ac:dyDescent="0.35">
      <c r="A56" s="32"/>
      <c r="B56" s="32"/>
    </row>
    <row r="57" spans="1:2" x14ac:dyDescent="0.35">
      <c r="A57" s="76"/>
      <c r="B57" s="76"/>
    </row>
    <row r="60" spans="1:2" x14ac:dyDescent="0.35">
      <c r="A60" t="s">
        <v>163</v>
      </c>
      <c r="B60" t="s">
        <v>17</v>
      </c>
    </row>
    <row r="61" spans="1:2" x14ac:dyDescent="0.35">
      <c r="A61" s="31"/>
      <c r="B61" s="31"/>
    </row>
    <row r="62" spans="1:2" x14ac:dyDescent="0.35">
      <c r="A62" s="31"/>
      <c r="B62" s="31"/>
    </row>
    <row r="63" spans="1:2" x14ac:dyDescent="0.35">
      <c r="A63" s="31"/>
      <c r="B63" s="31"/>
    </row>
    <row r="74" spans="1:2" x14ac:dyDescent="0.35">
      <c r="A74" s="31" t="s">
        <v>82</v>
      </c>
      <c r="B74" s="44" t="str">
        <f>IF(COUNT(Vertices[Degree])&gt;0, D2, NoMetricMessage)</f>
        <v>Not Available</v>
      </c>
    </row>
    <row r="75" spans="1:2" x14ac:dyDescent="0.35">
      <c r="A75" s="31" t="s">
        <v>83</v>
      </c>
      <c r="B75" s="44" t="str">
        <f>IF(COUNT(Vertices[Degree])&gt;0, D36, NoMetricMessage)</f>
        <v>Not Available</v>
      </c>
    </row>
    <row r="76" spans="1:2" x14ac:dyDescent="0.35">
      <c r="A76" s="31" t="s">
        <v>84</v>
      </c>
      <c r="B76" s="45" t="str">
        <f>IFERROR(AVERAGE(Vertices[Degree]),NoMetricMessage)</f>
        <v>Not Available</v>
      </c>
    </row>
    <row r="77" spans="1:2" x14ac:dyDescent="0.35">
      <c r="A77" s="31" t="s">
        <v>85</v>
      </c>
      <c r="B77" s="45" t="str">
        <f>IFERROR(MEDIAN(Vertices[Degree]),NoMetricMessage)</f>
        <v>Not Available</v>
      </c>
    </row>
    <row r="88" spans="1:2" x14ac:dyDescent="0.35">
      <c r="A88" s="31" t="s">
        <v>89</v>
      </c>
      <c r="B88" s="44" t="str">
        <f>IF(COUNT(Vertices[In-Degree])&gt;0, F2, NoMetricMessage)</f>
        <v>Not Available</v>
      </c>
    </row>
    <row r="89" spans="1:2" x14ac:dyDescent="0.35">
      <c r="A89" s="31" t="s">
        <v>90</v>
      </c>
      <c r="B89" s="44" t="str">
        <f>IF(COUNT(Vertices[In-Degree])&gt;0, F36, NoMetricMessage)</f>
        <v>Not Available</v>
      </c>
    </row>
    <row r="90" spans="1:2" x14ac:dyDescent="0.35">
      <c r="A90" s="31" t="s">
        <v>91</v>
      </c>
      <c r="B90" s="45" t="str">
        <f>IFERROR(AVERAGE(Vertices[In-Degree]),NoMetricMessage)</f>
        <v>Not Available</v>
      </c>
    </row>
    <row r="91" spans="1:2" x14ac:dyDescent="0.35">
      <c r="A91" s="31" t="s">
        <v>92</v>
      </c>
      <c r="B91" s="45" t="str">
        <f>IFERROR(MEDIAN(Vertices[In-Degree]),NoMetricMessage)</f>
        <v>Not Available</v>
      </c>
    </row>
    <row r="102" spans="1:2" x14ac:dyDescent="0.35">
      <c r="A102" s="31" t="s">
        <v>95</v>
      </c>
      <c r="B102" s="44" t="str">
        <f>IF(COUNT(Vertices[Out-Degree])&gt;0, H2, NoMetricMessage)</f>
        <v>Not Available</v>
      </c>
    </row>
    <row r="103" spans="1:2" x14ac:dyDescent="0.35">
      <c r="A103" s="31" t="s">
        <v>96</v>
      </c>
      <c r="B103" s="44" t="str">
        <f>IF(COUNT(Vertices[Out-Degree])&gt;0, H36, NoMetricMessage)</f>
        <v>Not Available</v>
      </c>
    </row>
    <row r="104" spans="1:2" x14ac:dyDescent="0.35">
      <c r="A104" s="31" t="s">
        <v>97</v>
      </c>
      <c r="B104" s="45" t="str">
        <f>IFERROR(AVERAGE(Vertices[Out-Degree]),NoMetricMessage)</f>
        <v>Not Available</v>
      </c>
    </row>
    <row r="105" spans="1:2" x14ac:dyDescent="0.35">
      <c r="A105" s="31" t="s">
        <v>98</v>
      </c>
      <c r="B105" s="45" t="str">
        <f>IFERROR(MEDIAN(Vertices[Out-Degree]),NoMetricMessage)</f>
        <v>Not Available</v>
      </c>
    </row>
    <row r="116" spans="1:2" x14ac:dyDescent="0.35">
      <c r="A116" s="31" t="s">
        <v>101</v>
      </c>
      <c r="B116" s="45" t="str">
        <f>IF(COUNT(Vertices[Betweenness Centrality])&gt;0, J2, NoMetricMessage)</f>
        <v>Not Available</v>
      </c>
    </row>
    <row r="117" spans="1:2" x14ac:dyDescent="0.35">
      <c r="A117" s="31" t="s">
        <v>102</v>
      </c>
      <c r="B117" s="45" t="str">
        <f>IF(COUNT(Vertices[Betweenness Centrality])&gt;0, J36, NoMetricMessage)</f>
        <v>Not Available</v>
      </c>
    </row>
    <row r="118" spans="1:2" x14ac:dyDescent="0.35">
      <c r="A118" s="31" t="s">
        <v>103</v>
      </c>
      <c r="B118" s="45" t="str">
        <f>IFERROR(AVERAGE(Vertices[Betweenness Centrality]),NoMetricMessage)</f>
        <v>Not Available</v>
      </c>
    </row>
    <row r="119" spans="1:2" x14ac:dyDescent="0.35">
      <c r="A119" s="31" t="s">
        <v>104</v>
      </c>
      <c r="B119" s="45" t="str">
        <f>IFERROR(MEDIAN(Vertices[Betweenness Centrality]),NoMetricMessage)</f>
        <v>Not Available</v>
      </c>
    </row>
    <row r="130" spans="1:2" x14ac:dyDescent="0.35">
      <c r="A130" s="31" t="s">
        <v>107</v>
      </c>
      <c r="B130" s="45" t="str">
        <f>IF(COUNT(Vertices[Closeness Centrality])&gt;0, L2, NoMetricMessage)</f>
        <v>Not Available</v>
      </c>
    </row>
    <row r="131" spans="1:2" x14ac:dyDescent="0.35">
      <c r="A131" s="31" t="s">
        <v>108</v>
      </c>
      <c r="B131" s="45" t="str">
        <f>IF(COUNT(Vertices[Closeness Centrality])&gt;0, L36, NoMetricMessage)</f>
        <v>Not Available</v>
      </c>
    </row>
    <row r="132" spans="1:2" x14ac:dyDescent="0.35">
      <c r="A132" s="31" t="s">
        <v>109</v>
      </c>
      <c r="B132" s="45" t="str">
        <f>IFERROR(AVERAGE(Vertices[Closeness Centrality]),NoMetricMessage)</f>
        <v>Not Available</v>
      </c>
    </row>
    <row r="133" spans="1:2" x14ac:dyDescent="0.35">
      <c r="A133" s="31" t="s">
        <v>110</v>
      </c>
      <c r="B133" s="45" t="str">
        <f>IFERROR(MEDIAN(Vertices[Closeness Centrality]),NoMetricMessage)</f>
        <v>Not Available</v>
      </c>
    </row>
    <row r="144" spans="1:2" x14ac:dyDescent="0.35">
      <c r="A144" s="31" t="s">
        <v>113</v>
      </c>
      <c r="B144" s="45" t="str">
        <f>IF(COUNT(Vertices[Eigenvector Centrality])&gt;0, N2, NoMetricMessage)</f>
        <v>Not Available</v>
      </c>
    </row>
    <row r="145" spans="1:2" x14ac:dyDescent="0.35">
      <c r="A145" s="31" t="s">
        <v>114</v>
      </c>
      <c r="B145" s="45" t="str">
        <f>IF(COUNT(Vertices[Eigenvector Centrality])&gt;0, N36, NoMetricMessage)</f>
        <v>Not Available</v>
      </c>
    </row>
    <row r="146" spans="1:2" x14ac:dyDescent="0.35">
      <c r="A146" s="31" t="s">
        <v>115</v>
      </c>
      <c r="B146" s="45" t="str">
        <f>IFERROR(AVERAGE(Vertices[Eigenvector Centrality]),NoMetricMessage)</f>
        <v>Not Available</v>
      </c>
    </row>
    <row r="147" spans="1:2" x14ac:dyDescent="0.35">
      <c r="A147" s="31" t="s">
        <v>116</v>
      </c>
      <c r="B147" s="45" t="str">
        <f>IFERROR(MEDIAN(Vertices[Eigenvector Centrality]),NoMetricMessage)</f>
        <v>Not Available</v>
      </c>
    </row>
    <row r="158" spans="1:2" x14ac:dyDescent="0.35">
      <c r="A158" s="31" t="s">
        <v>140</v>
      </c>
      <c r="B158" s="45" t="str">
        <f>IF(COUNT(Vertices[PageRank])&gt;0, P2, NoMetricMessage)</f>
        <v>Not Available</v>
      </c>
    </row>
    <row r="159" spans="1:2" x14ac:dyDescent="0.35">
      <c r="A159" s="31" t="s">
        <v>141</v>
      </c>
      <c r="B159" s="45" t="str">
        <f>IF(COUNT(Vertices[PageRank])&gt;0, P36, NoMetricMessage)</f>
        <v>Not Available</v>
      </c>
    </row>
    <row r="160" spans="1:2" x14ac:dyDescent="0.35">
      <c r="A160" s="31" t="s">
        <v>142</v>
      </c>
      <c r="B160" s="45" t="str">
        <f>IFERROR(AVERAGE(Vertices[PageRank]),NoMetricMessage)</f>
        <v>Not Available</v>
      </c>
    </row>
    <row r="161" spans="1:2" x14ac:dyDescent="0.35">
      <c r="A161" s="31" t="s">
        <v>143</v>
      </c>
      <c r="B161" s="45" t="str">
        <f>IFERROR(MEDIAN(Vertices[PageRank]),NoMetricMessage)</f>
        <v>Not Available</v>
      </c>
    </row>
    <row r="172" spans="1:2" x14ac:dyDescent="0.35">
      <c r="A172" s="31" t="s">
        <v>119</v>
      </c>
      <c r="B172" s="45" t="str">
        <f>IF(COUNT(Vertices[Clustering Coefficient])&gt;0, R2, NoMetricMessage)</f>
        <v>Not Available</v>
      </c>
    </row>
    <row r="173" spans="1:2" x14ac:dyDescent="0.35">
      <c r="A173" s="31" t="s">
        <v>120</v>
      </c>
      <c r="B173" s="45" t="str">
        <f>IF(COUNT(Vertices[Clustering Coefficient])&gt;0, R36, NoMetricMessage)</f>
        <v>Not Available</v>
      </c>
    </row>
    <row r="174" spans="1:2" x14ac:dyDescent="0.35">
      <c r="A174" s="31" t="s">
        <v>121</v>
      </c>
      <c r="B174" s="45" t="str">
        <f>IFERROR(AVERAGE(Vertices[Clustering Coefficient]),NoMetricMessage)</f>
        <v>Not Available</v>
      </c>
    </row>
    <row r="175" spans="1:2" x14ac:dyDescent="0.35">
      <c r="A175" s="31" t="s">
        <v>122</v>
      </c>
      <c r="B175" s="45"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90625" bestFit="1" customWidth="1"/>
    <col min="4" max="4" width="16.90625" bestFit="1" customWidth="1"/>
    <col min="5" max="6" width="16.90625" customWidth="1"/>
    <col min="7" max="7" width="14.36328125" bestFit="1" customWidth="1"/>
    <col min="8" max="8" width="14.36328125" customWidth="1"/>
    <col min="10" max="10" width="39.08984375" bestFit="1" customWidth="1"/>
    <col min="11" max="11" width="10.90625" bestFit="1" customWidth="1"/>
    <col min="13" max="13" width="8.453125" bestFit="1" customWidth="1"/>
    <col min="14" max="14" width="10" bestFit="1" customWidth="1"/>
    <col min="15" max="15" width="11.90625" bestFit="1" customWidth="1"/>
    <col min="16" max="16" width="12.08984375" bestFit="1" customWidth="1"/>
  </cols>
  <sheetData>
    <row r="1" spans="1:18" s="3" customFormat="1" ht="36" customHeight="1" x14ac:dyDescent="0.35">
      <c r="A1" s="4" t="s">
        <v>6</v>
      </c>
      <c r="B1" s="4" t="s">
        <v>131</v>
      </c>
      <c r="C1" s="3" t="s">
        <v>7</v>
      </c>
      <c r="D1" s="3" t="s">
        <v>9</v>
      </c>
      <c r="E1" s="3" t="s">
        <v>164</v>
      </c>
      <c r="F1" s="4" t="s">
        <v>169</v>
      </c>
      <c r="G1" s="3" t="s">
        <v>14</v>
      </c>
      <c r="H1" s="3" t="s">
        <v>68</v>
      </c>
      <c r="J1" s="3" t="s">
        <v>18</v>
      </c>
      <c r="K1" s="3" t="s">
        <v>17</v>
      </c>
      <c r="M1" s="3" t="s">
        <v>22</v>
      </c>
      <c r="N1" s="3" t="s">
        <v>23</v>
      </c>
      <c r="O1" s="3" t="s">
        <v>24</v>
      </c>
      <c r="P1" s="3" t="s">
        <v>25</v>
      </c>
    </row>
    <row r="2" spans="1:18" x14ac:dyDescent="0.35">
      <c r="A2" s="1" t="s">
        <v>52</v>
      </c>
      <c r="B2" s="1" t="s">
        <v>132</v>
      </c>
      <c r="C2" t="s">
        <v>55</v>
      </c>
      <c r="D2" t="s">
        <v>56</v>
      </c>
      <c r="E2" t="s">
        <v>56</v>
      </c>
      <c r="F2" s="1" t="s">
        <v>52</v>
      </c>
      <c r="G2" t="s">
        <v>66</v>
      </c>
      <c r="H2" t="s">
        <v>159</v>
      </c>
      <c r="J2" t="s">
        <v>19</v>
      </c>
      <c r="K2">
        <v>108</v>
      </c>
      <c r="M2" t="s">
        <v>146</v>
      </c>
      <c r="N2" t="s">
        <v>46</v>
      </c>
      <c r="O2">
        <v>70</v>
      </c>
      <c r="P2">
        <v>90</v>
      </c>
    </row>
    <row r="3" spans="1:18" x14ac:dyDescent="0.35">
      <c r="A3" s="1" t="s">
        <v>53</v>
      </c>
      <c r="B3" s="1" t="s">
        <v>133</v>
      </c>
      <c r="C3" t="s">
        <v>53</v>
      </c>
      <c r="D3" t="s">
        <v>57</v>
      </c>
      <c r="E3" t="s">
        <v>57</v>
      </c>
      <c r="F3" s="1" t="s">
        <v>53</v>
      </c>
      <c r="G3" t="s">
        <v>67</v>
      </c>
      <c r="H3" t="s">
        <v>69</v>
      </c>
      <c r="J3" t="s">
        <v>30</v>
      </c>
      <c r="K3" t="s">
        <v>31</v>
      </c>
      <c r="M3" t="s">
        <v>146</v>
      </c>
      <c r="N3" t="s">
        <v>15</v>
      </c>
      <c r="O3">
        <v>512</v>
      </c>
      <c r="P3">
        <v>9439.365234375</v>
      </c>
    </row>
    <row r="4" spans="1:18" x14ac:dyDescent="0.35">
      <c r="A4" s="1" t="s">
        <v>54</v>
      </c>
      <c r="B4" s="1" t="s">
        <v>134</v>
      </c>
      <c r="C4" t="s">
        <v>54</v>
      </c>
      <c r="D4" t="s">
        <v>58</v>
      </c>
      <c r="E4" t="s">
        <v>58</v>
      </c>
      <c r="F4" s="1" t="s">
        <v>54</v>
      </c>
      <c r="G4">
        <v>0</v>
      </c>
      <c r="H4" t="s">
        <v>70</v>
      </c>
      <c r="J4" t="s">
        <v>79</v>
      </c>
      <c r="M4" t="s">
        <v>146</v>
      </c>
      <c r="N4" t="s">
        <v>16</v>
      </c>
      <c r="O4">
        <v>532.67541503906205</v>
      </c>
      <c r="P4">
        <v>9459.6455078125</v>
      </c>
    </row>
    <row r="5" spans="1:18" ht="409.5" x14ac:dyDescent="0.35">
      <c r="A5">
        <v>1</v>
      </c>
      <c r="B5" s="1" t="s">
        <v>135</v>
      </c>
      <c r="C5" t="s">
        <v>52</v>
      </c>
      <c r="D5" t="s">
        <v>59</v>
      </c>
      <c r="E5" t="s">
        <v>59</v>
      </c>
      <c r="F5">
        <v>1</v>
      </c>
      <c r="G5">
        <v>1</v>
      </c>
      <c r="H5" t="s">
        <v>71</v>
      </c>
      <c r="J5" t="s">
        <v>172</v>
      </c>
      <c r="K5" s="7" t="s">
        <v>185</v>
      </c>
    </row>
    <row r="6" spans="1:18" x14ac:dyDescent="0.35">
      <c r="A6">
        <v>0</v>
      </c>
      <c r="B6" s="1" t="s">
        <v>136</v>
      </c>
      <c r="C6">
        <v>1</v>
      </c>
      <c r="D6" t="s">
        <v>60</v>
      </c>
      <c r="E6" t="s">
        <v>60</v>
      </c>
      <c r="F6">
        <v>0</v>
      </c>
      <c r="H6" t="s">
        <v>72</v>
      </c>
      <c r="J6" t="s">
        <v>173</v>
      </c>
      <c r="K6">
        <v>2</v>
      </c>
      <c r="R6" t="s">
        <v>129</v>
      </c>
    </row>
    <row r="7" spans="1:18" x14ac:dyDescent="0.35">
      <c r="A7">
        <v>2</v>
      </c>
      <c r="B7">
        <v>1</v>
      </c>
      <c r="C7">
        <v>0</v>
      </c>
      <c r="D7" t="s">
        <v>61</v>
      </c>
      <c r="E7" t="s">
        <v>61</v>
      </c>
      <c r="F7">
        <v>2</v>
      </c>
      <c r="H7" t="s">
        <v>73</v>
      </c>
      <c r="J7" t="s">
        <v>182</v>
      </c>
      <c r="K7" t="s">
        <v>183</v>
      </c>
    </row>
    <row r="8" spans="1:18" x14ac:dyDescent="0.35">
      <c r="A8"/>
      <c r="B8">
        <v>2</v>
      </c>
      <c r="C8">
        <v>2</v>
      </c>
      <c r="D8" t="s">
        <v>62</v>
      </c>
      <c r="E8" t="s">
        <v>62</v>
      </c>
      <c r="H8" t="s">
        <v>74</v>
      </c>
      <c r="J8" t="s">
        <v>186</v>
      </c>
      <c r="K8" t="s">
        <v>187</v>
      </c>
    </row>
    <row r="9" spans="1:18" x14ac:dyDescent="0.35">
      <c r="A9"/>
      <c r="B9">
        <v>3</v>
      </c>
      <c r="C9">
        <v>4</v>
      </c>
      <c r="D9" t="s">
        <v>63</v>
      </c>
      <c r="E9" t="s">
        <v>63</v>
      </c>
      <c r="H9" t="s">
        <v>75</v>
      </c>
    </row>
    <row r="10" spans="1:18" x14ac:dyDescent="0.35">
      <c r="A10"/>
      <c r="B10">
        <v>4</v>
      </c>
      <c r="D10" t="s">
        <v>64</v>
      </c>
      <c r="E10" t="s">
        <v>64</v>
      </c>
      <c r="H10" t="s">
        <v>76</v>
      </c>
    </row>
    <row r="11" spans="1:18" x14ac:dyDescent="0.35">
      <c r="A11"/>
      <c r="B11">
        <v>5</v>
      </c>
      <c r="D11" t="s">
        <v>47</v>
      </c>
      <c r="E11">
        <v>1</v>
      </c>
      <c r="H11" t="s">
        <v>77</v>
      </c>
    </row>
    <row r="12" spans="1:18" x14ac:dyDescent="0.35">
      <c r="A12"/>
      <c r="B12"/>
      <c r="D12" t="s">
        <v>65</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2CB18E14-1273-4B42-8420-44BEC970E8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Srikanth Reddy Narra</dc:creator>
  <cp:lastModifiedBy>Srikanth Reddy Narra</cp:lastModifiedBy>
  <dcterms:created xsi:type="dcterms:W3CDTF">2008-01-30T00:41:58Z</dcterms:created>
  <dcterms:modified xsi:type="dcterms:W3CDTF">2023-02-09T22:47:38Z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